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3"/>
  </bookViews>
  <sheets>
    <sheet name="Results" sheetId="1" r:id="rId1"/>
    <sheet name="Summary" sheetId="16" r:id="rId2"/>
    <sheet name="Runtime" sheetId="18" r:id="rId3"/>
    <sheet name="Memory" sheetId="17" r:id="rId4"/>
    <sheet name="Runtime PHAVer" sheetId="22" r:id="rId5"/>
    <sheet name="Memory PHAVer" sheetId="21" r:id="rId6"/>
    <sheet name="All Runtime" sheetId="15" r:id="rId7"/>
    <sheet name="SSATS Runtime" sheetId="13" r:id="rId8"/>
    <sheet name="SSATS Memory" sheetId="12" r:id="rId9"/>
    <sheet name="MUX-INDEX-TA Runtime (N=30)" sheetId="10" r:id="rId10"/>
    <sheet name="MUX-INDEX-TA Memory (N=30)" sheetId="11" r:id="rId11"/>
    <sheet name="NFA Runtime" sheetId="4" r:id="rId12"/>
    <sheet name="NFA Memory" sheetId="2" r:id="rId13"/>
    <sheet name="Memory Delta" sheetId="3" r:id="rId14"/>
    <sheet name="NFA State Space" sheetId="5" r:id="rId15"/>
    <sheet name="MUX-SEM Runtime" sheetId="6" r:id="rId16"/>
    <sheet name="MUX-SEM Memory" sheetId="7" r:id="rId17"/>
    <sheet name="MUX-SEM Runtime (N=30)" sheetId="8" r:id="rId18"/>
    <sheet name="MUX-SEM Memory (N=30)" sheetId="9" r:id="rId19"/>
  </sheets>
  <calcPr calcId="152511"/>
</workbook>
</file>

<file path=xl/calcChain.xml><?xml version="1.0" encoding="utf-8"?>
<calcChain xmlns="http://schemas.openxmlformats.org/spreadsheetml/2006/main">
  <c r="AK18" i="1" l="1"/>
  <c r="AJ18" i="1"/>
  <c r="AK17" i="1"/>
  <c r="AJ17" i="1"/>
  <c r="AK16" i="1"/>
  <c r="T15" i="16" s="1"/>
  <c r="AK15" i="1"/>
  <c r="T18" i="1"/>
  <c r="T17" i="1"/>
  <c r="T16" i="1"/>
  <c r="T15" i="1"/>
  <c r="L14" i="16" s="1"/>
  <c r="T29" i="1"/>
  <c r="AK34" i="1"/>
  <c r="U33" i="16"/>
  <c r="T33" i="16"/>
  <c r="S33" i="16"/>
  <c r="R33" i="16"/>
  <c r="U32" i="16"/>
  <c r="T32" i="16"/>
  <c r="S32" i="16"/>
  <c r="R32" i="16"/>
  <c r="U31" i="16"/>
  <c r="T31" i="16"/>
  <c r="S31" i="16"/>
  <c r="R31" i="16"/>
  <c r="U30" i="16"/>
  <c r="T30" i="16"/>
  <c r="S30" i="16"/>
  <c r="R30" i="16"/>
  <c r="U29" i="16"/>
  <c r="T29" i="16"/>
  <c r="S29" i="16"/>
  <c r="R29" i="16"/>
  <c r="U28" i="16"/>
  <c r="T28" i="16"/>
  <c r="S28" i="16"/>
  <c r="R28" i="16"/>
  <c r="U27" i="16"/>
  <c r="T27" i="16"/>
  <c r="S27" i="16"/>
  <c r="R27" i="16"/>
  <c r="U26" i="16"/>
  <c r="T26" i="16"/>
  <c r="S26" i="16"/>
  <c r="R26" i="16"/>
  <c r="U25" i="16"/>
  <c r="T25" i="16"/>
  <c r="S25" i="16"/>
  <c r="R25" i="16"/>
  <c r="U24" i="16"/>
  <c r="T24" i="16"/>
  <c r="S24" i="16"/>
  <c r="R24" i="16"/>
  <c r="U23" i="16"/>
  <c r="T23" i="16"/>
  <c r="S23" i="16"/>
  <c r="R23" i="16"/>
  <c r="U22" i="16"/>
  <c r="T22" i="16"/>
  <c r="S22" i="16"/>
  <c r="R22" i="16"/>
  <c r="U21" i="16"/>
  <c r="T21" i="16"/>
  <c r="S21" i="16"/>
  <c r="R21" i="16"/>
  <c r="U20" i="16"/>
  <c r="T20" i="16"/>
  <c r="S20" i="16"/>
  <c r="R20" i="16"/>
  <c r="U19" i="16"/>
  <c r="T19" i="16"/>
  <c r="S19" i="16"/>
  <c r="R19" i="16"/>
  <c r="U18" i="16"/>
  <c r="T18" i="16"/>
  <c r="S18" i="16"/>
  <c r="R18" i="16"/>
  <c r="U17" i="16"/>
  <c r="T17" i="16"/>
  <c r="S17" i="16"/>
  <c r="R17" i="16"/>
  <c r="U16" i="16"/>
  <c r="T16" i="16"/>
  <c r="S16" i="16"/>
  <c r="R16" i="16"/>
  <c r="U15" i="16"/>
  <c r="S15" i="16"/>
  <c r="R15" i="16"/>
  <c r="U14" i="16"/>
  <c r="T14" i="16"/>
  <c r="S14" i="16"/>
  <c r="R14" i="16"/>
  <c r="U13" i="16"/>
  <c r="T13" i="16"/>
  <c r="S13" i="16"/>
  <c r="R13" i="16"/>
  <c r="U12" i="16"/>
  <c r="T12" i="16"/>
  <c r="S12" i="16"/>
  <c r="R12" i="16"/>
  <c r="U11" i="16"/>
  <c r="T11" i="16"/>
  <c r="S11" i="16"/>
  <c r="R11" i="16"/>
  <c r="U10" i="16"/>
  <c r="T10" i="16"/>
  <c r="S10" i="16"/>
  <c r="R10" i="16"/>
  <c r="U9" i="16"/>
  <c r="T9" i="16"/>
  <c r="S9" i="16"/>
  <c r="R9" i="16"/>
  <c r="U8" i="16"/>
  <c r="T8" i="16"/>
  <c r="S8" i="16"/>
  <c r="R8" i="16"/>
  <c r="U7" i="16"/>
  <c r="T7" i="16"/>
  <c r="S7" i="16"/>
  <c r="R7" i="16"/>
  <c r="U6" i="16"/>
  <c r="T6" i="16"/>
  <c r="S6" i="16"/>
  <c r="R6" i="16"/>
  <c r="U5" i="16"/>
  <c r="T5" i="16"/>
  <c r="S5" i="16"/>
  <c r="R5" i="16"/>
  <c r="U4" i="16"/>
  <c r="S4" i="16"/>
  <c r="T4" i="16"/>
  <c r="R4" i="16"/>
  <c r="U3" i="16"/>
  <c r="T3" i="16"/>
  <c r="S3" i="16"/>
  <c r="R3" i="16"/>
  <c r="AK29" i="1"/>
  <c r="AK24" i="1"/>
  <c r="AK19" i="1"/>
  <c r="AK14" i="1"/>
  <c r="AK11" i="1"/>
  <c r="AJ11" i="1"/>
  <c r="AK10" i="1"/>
  <c r="AJ10" i="1"/>
  <c r="AK13" i="1"/>
  <c r="AK12" i="1"/>
  <c r="AK9" i="1"/>
  <c r="AK8" i="1"/>
  <c r="AK7" i="1"/>
  <c r="AK6" i="1"/>
  <c r="AK5" i="1"/>
  <c r="AO11" i="1"/>
  <c r="AO10" i="1"/>
  <c r="AO8" i="1"/>
  <c r="AO7" i="1"/>
  <c r="AO6" i="1"/>
  <c r="AO5" i="1"/>
  <c r="AO12" i="1"/>
  <c r="AO9" i="1"/>
  <c r="AO13" i="1"/>
  <c r="AO4" i="1"/>
  <c r="AN4" i="1"/>
  <c r="AK4" i="1"/>
  <c r="AJ4" i="1"/>
  <c r="E3" i="16"/>
  <c r="D3" i="16"/>
  <c r="C3" i="16"/>
  <c r="B3" i="16"/>
  <c r="Q3" i="16"/>
  <c r="P3" i="16"/>
  <c r="O3" i="16"/>
  <c r="N3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4" i="16"/>
  <c r="N5" i="16"/>
  <c r="O5" i="16"/>
  <c r="P5" i="16"/>
  <c r="Q5" i="16"/>
  <c r="N6" i="16"/>
  <c r="O6" i="16"/>
  <c r="P6" i="16"/>
  <c r="Q6" i="16"/>
  <c r="N7" i="16"/>
  <c r="O7" i="16"/>
  <c r="P7" i="16"/>
  <c r="Q7" i="16"/>
  <c r="N8" i="16"/>
  <c r="O8" i="16"/>
  <c r="P8" i="16"/>
  <c r="Q8" i="16"/>
  <c r="N9" i="16"/>
  <c r="O9" i="16"/>
  <c r="P9" i="16"/>
  <c r="Q9" i="16"/>
  <c r="N10" i="16"/>
  <c r="O10" i="16"/>
  <c r="P10" i="16"/>
  <c r="Q10" i="16"/>
  <c r="N11" i="16"/>
  <c r="O11" i="16"/>
  <c r="P11" i="16"/>
  <c r="Q11" i="16"/>
  <c r="N12" i="16"/>
  <c r="O12" i="16"/>
  <c r="P12" i="16"/>
  <c r="Q12" i="16"/>
  <c r="N13" i="16"/>
  <c r="O13" i="16"/>
  <c r="P13" i="16"/>
  <c r="Q13" i="16"/>
  <c r="N14" i="16"/>
  <c r="O14" i="16"/>
  <c r="P14" i="16"/>
  <c r="Q14" i="16"/>
  <c r="N15" i="16"/>
  <c r="O15" i="16"/>
  <c r="P15" i="16"/>
  <c r="Q15" i="16"/>
  <c r="N16" i="16"/>
  <c r="O16" i="16"/>
  <c r="P16" i="16"/>
  <c r="Q16" i="16"/>
  <c r="N17" i="16"/>
  <c r="O17" i="16"/>
  <c r="P17" i="16"/>
  <c r="Q17" i="16"/>
  <c r="N18" i="16"/>
  <c r="O18" i="16"/>
  <c r="P18" i="16"/>
  <c r="Q18" i="16"/>
  <c r="N19" i="16"/>
  <c r="O19" i="16"/>
  <c r="P19" i="16"/>
  <c r="Q19" i="16"/>
  <c r="N20" i="16"/>
  <c r="O20" i="16"/>
  <c r="P20" i="16"/>
  <c r="Q20" i="16"/>
  <c r="N21" i="16"/>
  <c r="O21" i="16"/>
  <c r="P21" i="16"/>
  <c r="Q21" i="16"/>
  <c r="N22" i="16"/>
  <c r="O22" i="16"/>
  <c r="P22" i="16"/>
  <c r="Q22" i="16"/>
  <c r="N23" i="16"/>
  <c r="O23" i="16"/>
  <c r="P23" i="16"/>
  <c r="Q23" i="16"/>
  <c r="N24" i="16"/>
  <c r="O24" i="16"/>
  <c r="P24" i="16"/>
  <c r="Q24" i="16"/>
  <c r="N25" i="16"/>
  <c r="O25" i="16"/>
  <c r="P25" i="16"/>
  <c r="Q25" i="16"/>
  <c r="N26" i="16"/>
  <c r="O26" i="16"/>
  <c r="P26" i="16"/>
  <c r="Q26" i="16"/>
  <c r="N27" i="16"/>
  <c r="O27" i="16"/>
  <c r="P27" i="16"/>
  <c r="Q27" i="16"/>
  <c r="N28" i="16"/>
  <c r="O28" i="16"/>
  <c r="P28" i="16"/>
  <c r="Q28" i="16"/>
  <c r="N29" i="16"/>
  <c r="O29" i="16"/>
  <c r="P29" i="16"/>
  <c r="Q29" i="16"/>
  <c r="N30" i="16"/>
  <c r="O30" i="16"/>
  <c r="P30" i="16"/>
  <c r="Q30" i="16"/>
  <c r="N31" i="16"/>
  <c r="O31" i="16"/>
  <c r="P31" i="16"/>
  <c r="Q31" i="16"/>
  <c r="N32" i="16"/>
  <c r="O32" i="16"/>
  <c r="P32" i="16"/>
  <c r="Q32" i="16"/>
  <c r="N33" i="16"/>
  <c r="O33" i="16"/>
  <c r="P33" i="16"/>
  <c r="Q33" i="16"/>
  <c r="Q4" i="16"/>
  <c r="O4" i="16"/>
  <c r="P4" i="16"/>
  <c r="N4" i="16"/>
  <c r="J5" i="16"/>
  <c r="K5" i="16"/>
  <c r="L5" i="16"/>
  <c r="M5" i="16"/>
  <c r="J6" i="16"/>
  <c r="K6" i="16"/>
  <c r="L6" i="16"/>
  <c r="M6" i="16"/>
  <c r="J7" i="16"/>
  <c r="K7" i="16"/>
  <c r="L7" i="16"/>
  <c r="M7" i="16"/>
  <c r="J8" i="16"/>
  <c r="K8" i="16"/>
  <c r="L8" i="16"/>
  <c r="M8" i="16"/>
  <c r="J9" i="16"/>
  <c r="K9" i="16"/>
  <c r="L9" i="16"/>
  <c r="M9" i="16"/>
  <c r="J10" i="16"/>
  <c r="K10" i="16"/>
  <c r="L10" i="16"/>
  <c r="M10" i="16"/>
  <c r="J11" i="16"/>
  <c r="K11" i="16"/>
  <c r="L11" i="16"/>
  <c r="M11" i="16"/>
  <c r="J12" i="16"/>
  <c r="K12" i="16"/>
  <c r="L12" i="16"/>
  <c r="M12" i="16"/>
  <c r="J13" i="16"/>
  <c r="K13" i="16"/>
  <c r="L13" i="16"/>
  <c r="M13" i="16"/>
  <c r="J14" i="16"/>
  <c r="K14" i="16"/>
  <c r="M14" i="16"/>
  <c r="J15" i="16"/>
  <c r="K15" i="16"/>
  <c r="L15" i="16"/>
  <c r="M15" i="16"/>
  <c r="J16" i="16"/>
  <c r="K16" i="16"/>
  <c r="L16" i="16"/>
  <c r="M16" i="16"/>
  <c r="J17" i="16"/>
  <c r="K17" i="16"/>
  <c r="L17" i="16"/>
  <c r="M17" i="16"/>
  <c r="J18" i="16"/>
  <c r="K18" i="16"/>
  <c r="L18" i="16"/>
  <c r="M18" i="16"/>
  <c r="J19" i="16"/>
  <c r="K19" i="16"/>
  <c r="L19" i="16"/>
  <c r="M19" i="16"/>
  <c r="J20" i="16"/>
  <c r="K20" i="16"/>
  <c r="L20" i="16"/>
  <c r="M20" i="16"/>
  <c r="J21" i="16"/>
  <c r="K21" i="16"/>
  <c r="L21" i="16"/>
  <c r="M21" i="16"/>
  <c r="J22" i="16"/>
  <c r="K22" i="16"/>
  <c r="L22" i="16"/>
  <c r="M22" i="16"/>
  <c r="J23" i="16"/>
  <c r="K23" i="16"/>
  <c r="L23" i="16"/>
  <c r="M23" i="16"/>
  <c r="J24" i="16"/>
  <c r="K24" i="16"/>
  <c r="L24" i="16"/>
  <c r="M24" i="16"/>
  <c r="J25" i="16"/>
  <c r="K25" i="16"/>
  <c r="L25" i="16"/>
  <c r="M25" i="16"/>
  <c r="J26" i="16"/>
  <c r="K26" i="16"/>
  <c r="L26" i="16"/>
  <c r="M26" i="16"/>
  <c r="J27" i="16"/>
  <c r="K27" i="16"/>
  <c r="L27" i="16"/>
  <c r="M27" i="16"/>
  <c r="J28" i="16"/>
  <c r="K28" i="16"/>
  <c r="L28" i="16"/>
  <c r="M28" i="16"/>
  <c r="J29" i="16"/>
  <c r="K29" i="16"/>
  <c r="L29" i="16"/>
  <c r="M29" i="16"/>
  <c r="J30" i="16"/>
  <c r="K30" i="16"/>
  <c r="L30" i="16"/>
  <c r="M30" i="16"/>
  <c r="J31" i="16"/>
  <c r="K31" i="16"/>
  <c r="L31" i="16"/>
  <c r="M31" i="16"/>
  <c r="J32" i="16"/>
  <c r="K32" i="16"/>
  <c r="L32" i="16"/>
  <c r="M32" i="16"/>
  <c r="J33" i="16"/>
  <c r="K33" i="16"/>
  <c r="L33" i="16"/>
  <c r="M33" i="16"/>
  <c r="M4" i="16"/>
  <c r="K4" i="16"/>
  <c r="L4" i="16"/>
  <c r="J4" i="16"/>
  <c r="J1" i="16"/>
  <c r="M3" i="16" s="1"/>
  <c r="F5" i="16"/>
  <c r="G5" i="16"/>
  <c r="H5" i="16"/>
  <c r="I5" i="16"/>
  <c r="F6" i="16"/>
  <c r="G6" i="16"/>
  <c r="H6" i="16"/>
  <c r="I6" i="16"/>
  <c r="F7" i="16"/>
  <c r="G7" i="16"/>
  <c r="H7" i="16"/>
  <c r="I7" i="16"/>
  <c r="F8" i="16"/>
  <c r="G8" i="16"/>
  <c r="H8" i="16"/>
  <c r="I8" i="16"/>
  <c r="F9" i="16"/>
  <c r="G9" i="16"/>
  <c r="H9" i="16"/>
  <c r="I9" i="16"/>
  <c r="F10" i="16"/>
  <c r="G10" i="16"/>
  <c r="H10" i="16"/>
  <c r="I10" i="16"/>
  <c r="F11" i="16"/>
  <c r="G11" i="16"/>
  <c r="H11" i="16"/>
  <c r="I11" i="16"/>
  <c r="F12" i="16"/>
  <c r="G12" i="16"/>
  <c r="H12" i="16"/>
  <c r="I12" i="16"/>
  <c r="F13" i="16"/>
  <c r="G13" i="16"/>
  <c r="H13" i="16"/>
  <c r="I13" i="16"/>
  <c r="F14" i="16"/>
  <c r="G14" i="16"/>
  <c r="H14" i="16"/>
  <c r="I14" i="16"/>
  <c r="F15" i="16"/>
  <c r="G15" i="16"/>
  <c r="H15" i="16"/>
  <c r="I15" i="16"/>
  <c r="F16" i="16"/>
  <c r="G16" i="16"/>
  <c r="H16" i="16"/>
  <c r="I16" i="16"/>
  <c r="F17" i="16"/>
  <c r="G17" i="16"/>
  <c r="H17" i="16"/>
  <c r="I17" i="16"/>
  <c r="F18" i="16"/>
  <c r="G18" i="16"/>
  <c r="H18" i="16"/>
  <c r="I18" i="16"/>
  <c r="F19" i="16"/>
  <c r="G19" i="16"/>
  <c r="H19" i="16"/>
  <c r="I19" i="16"/>
  <c r="F20" i="16"/>
  <c r="G20" i="16"/>
  <c r="H20" i="16"/>
  <c r="I20" i="16"/>
  <c r="F21" i="16"/>
  <c r="G21" i="16"/>
  <c r="H21" i="16"/>
  <c r="I21" i="16"/>
  <c r="F22" i="16"/>
  <c r="G22" i="16"/>
  <c r="H22" i="16"/>
  <c r="I22" i="16"/>
  <c r="F23" i="16"/>
  <c r="G23" i="16"/>
  <c r="H23" i="16"/>
  <c r="I23" i="16"/>
  <c r="F24" i="16"/>
  <c r="G24" i="16"/>
  <c r="H24" i="16"/>
  <c r="I24" i="16"/>
  <c r="F25" i="16"/>
  <c r="G25" i="16"/>
  <c r="H25" i="16"/>
  <c r="I25" i="16"/>
  <c r="F26" i="16"/>
  <c r="G26" i="16"/>
  <c r="H26" i="16"/>
  <c r="I26" i="16"/>
  <c r="F27" i="16"/>
  <c r="G27" i="16"/>
  <c r="H27" i="16"/>
  <c r="I27" i="16"/>
  <c r="F28" i="16"/>
  <c r="G28" i="16"/>
  <c r="H28" i="16"/>
  <c r="I28" i="16"/>
  <c r="F29" i="16"/>
  <c r="G29" i="16"/>
  <c r="H29" i="16"/>
  <c r="I29" i="16"/>
  <c r="F30" i="16"/>
  <c r="G30" i="16"/>
  <c r="H30" i="16"/>
  <c r="I30" i="16"/>
  <c r="F31" i="16"/>
  <c r="G31" i="16"/>
  <c r="H31" i="16"/>
  <c r="I31" i="16"/>
  <c r="F32" i="16"/>
  <c r="G32" i="16"/>
  <c r="H32" i="16"/>
  <c r="I32" i="16"/>
  <c r="F33" i="16"/>
  <c r="G33" i="16"/>
  <c r="H33" i="16"/>
  <c r="I33" i="16"/>
  <c r="I4" i="16"/>
  <c r="H4" i="16"/>
  <c r="G4" i="16"/>
  <c r="F4" i="16"/>
  <c r="F1" i="16"/>
  <c r="I3" i="16" s="1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4" i="16"/>
  <c r="B32" i="16"/>
  <c r="B33" i="16"/>
  <c r="B34" i="16"/>
  <c r="B35" i="16"/>
  <c r="B36" i="16"/>
  <c r="B37" i="16"/>
  <c r="B38" i="16"/>
  <c r="B39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4" i="16"/>
  <c r="G3" i="16" l="1"/>
  <c r="F3" i="16"/>
  <c r="H3" i="16"/>
  <c r="J3" i="16"/>
  <c r="K3" i="16"/>
  <c r="L3" i="16"/>
  <c r="AC24" i="1"/>
  <c r="AC19" i="1"/>
  <c r="AC18" i="1"/>
  <c r="AC17" i="1"/>
  <c r="AC16" i="1"/>
  <c r="AC15" i="1"/>
  <c r="AC14" i="1"/>
  <c r="AC13" i="1"/>
  <c r="AC12" i="1"/>
  <c r="AC11" i="1"/>
  <c r="AC10" i="1"/>
  <c r="AB10" i="1"/>
  <c r="AC9" i="1"/>
  <c r="AC8" i="1"/>
  <c r="AC7" i="1"/>
  <c r="AC6" i="1"/>
  <c r="AC5" i="1"/>
  <c r="AG9" i="1"/>
  <c r="AG8" i="1"/>
  <c r="AG7" i="1"/>
  <c r="AG6" i="1"/>
  <c r="AG5" i="1"/>
  <c r="AF9" i="1"/>
  <c r="AF8" i="1"/>
  <c r="AF7" i="1"/>
  <c r="AF6" i="1"/>
  <c r="AF5" i="1"/>
  <c r="AG4" i="1"/>
  <c r="AF4" i="1"/>
  <c r="AC4" i="1"/>
  <c r="AB4" i="1"/>
  <c r="X4" i="1" l="1"/>
  <c r="W4" i="1"/>
  <c r="T4" i="1"/>
  <c r="S4" i="1"/>
  <c r="T304" i="1" l="1"/>
  <c r="T204" i="1"/>
  <c r="T104" i="1"/>
  <c r="T54" i="1"/>
  <c r="T44" i="1"/>
  <c r="T34" i="1"/>
  <c r="T24" i="1"/>
  <c r="T19" i="1"/>
  <c r="T14" i="1"/>
  <c r="T13" i="1"/>
  <c r="T12" i="1"/>
  <c r="T11" i="1"/>
  <c r="T10" i="1"/>
  <c r="T9" i="1"/>
  <c r="T8" i="1"/>
  <c r="T7" i="1"/>
  <c r="T6" i="1"/>
  <c r="T5" i="1"/>
  <c r="X11" i="1"/>
  <c r="X10" i="1"/>
  <c r="X9" i="1"/>
  <c r="X8" i="1"/>
  <c r="X7" i="1"/>
  <c r="X6" i="1"/>
  <c r="X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5" i="1"/>
  <c r="L16" i="1" l="1"/>
  <c r="L304" i="1"/>
  <c r="L279" i="1"/>
  <c r="K279" i="1"/>
  <c r="L254" i="1"/>
  <c r="L229" i="1"/>
  <c r="L204" i="1"/>
  <c r="L179" i="1"/>
  <c r="L154" i="1"/>
  <c r="L129" i="1"/>
  <c r="L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L79" i="1"/>
  <c r="L49" i="1"/>
  <c r="L44" i="1"/>
  <c r="L39" i="1"/>
  <c r="L54" i="1"/>
  <c r="P14" i="1"/>
  <c r="P13" i="1"/>
  <c r="L34" i="1"/>
  <c r="L29" i="1"/>
  <c r="L24" i="1"/>
  <c r="L5" i="1"/>
  <c r="L6" i="1"/>
  <c r="L7" i="1"/>
  <c r="L8" i="1"/>
  <c r="L9" i="1"/>
  <c r="L10" i="1"/>
  <c r="L11" i="1"/>
  <c r="L12" i="1"/>
  <c r="L13" i="1"/>
  <c r="L14" i="1"/>
  <c r="L15" i="1"/>
  <c r="L17" i="1"/>
  <c r="L18" i="1"/>
  <c r="L19" i="1"/>
  <c r="P5" i="1"/>
  <c r="P6" i="1"/>
  <c r="P7" i="1"/>
  <c r="P8" i="1"/>
  <c r="P9" i="1"/>
  <c r="P10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P12" i="1" l="1"/>
  <c r="P11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5" i="1"/>
  <c r="M19" i="1"/>
  <c r="M18" i="1"/>
  <c r="M17" i="1"/>
  <c r="M16" i="1"/>
  <c r="M15" i="1"/>
  <c r="M14" i="1"/>
  <c r="M13" i="1"/>
  <c r="M11" i="1"/>
  <c r="M9" i="1"/>
  <c r="M7" i="1"/>
  <c r="P4" i="1"/>
  <c r="O4" i="1"/>
  <c r="L4" i="1"/>
  <c r="K4" i="1"/>
  <c r="M12" i="1" l="1"/>
  <c r="M6" i="1"/>
  <c r="M8" i="1"/>
  <c r="M10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5" i="1"/>
  <c r="D34" i="1"/>
  <c r="D29" i="1"/>
  <c r="D24" i="1" l="1"/>
  <c r="C24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E19" i="1"/>
  <c r="D19" i="1"/>
  <c r="C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D18" i="1"/>
  <c r="D17" i="1"/>
  <c r="D16" i="1"/>
  <c r="B19" i="1"/>
  <c r="B18" i="1"/>
  <c r="B17" i="1"/>
  <c r="B16" i="1"/>
  <c r="D15" i="1"/>
  <c r="C15" i="1"/>
  <c r="B15" i="1"/>
  <c r="H4" i="1"/>
  <c r="G4" i="1"/>
  <c r="D4" i="1"/>
  <c r="C4" i="1"/>
  <c r="H10" i="1"/>
  <c r="H9" i="1"/>
  <c r="H8" i="1"/>
  <c r="H7" i="1"/>
  <c r="H6" i="1"/>
  <c r="H5" i="1"/>
  <c r="D14" i="1"/>
  <c r="C14" i="1"/>
  <c r="B14" i="1"/>
  <c r="B6" i="1"/>
  <c r="B7" i="1"/>
  <c r="B8" i="1"/>
  <c r="B9" i="1"/>
  <c r="B10" i="1"/>
  <c r="B11" i="1"/>
  <c r="B12" i="1"/>
  <c r="B13" i="1"/>
  <c r="B5" i="1"/>
  <c r="D13" i="1"/>
  <c r="D10" i="1"/>
  <c r="D12" i="1"/>
  <c r="D11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<sst xmlns="http://schemas.openxmlformats.org/spreadsheetml/2006/main" count="226" uniqueCount="162">
  <si>
    <t>Passel</t>
  </si>
  <si>
    <t>Phaver</t>
  </si>
  <si>
    <t>N</t>
  </si>
  <si>
    <t>NFA</t>
  </si>
  <si>
    <t>10.89 user, 2.50 system, 13.67 elapsed -- Max VSize = 76016KB, Max RSS = 35360KB</t>
  </si>
  <si>
    <t>5.92 user, 1.90 system, 7.88 elapsed -- Max VSize = 75364KB, Max RSS = 34752KB</t>
  </si>
  <si>
    <t>3.18 user, 1.58 system, 4.75 elapsed -- Max VSize = 74532KB, Max RSS = 33856KB</t>
  </si>
  <si>
    <t>1.51 user, 1.28 system, 2.83 elapsed -- Max VSize = 73392KB, Max RSS = 32580KB</t>
  </si>
  <si>
    <t>0.43 user, 1.10 system, 1.61 elapsed -- Max VSize = 70600KB, Max RSS = 29708KB</t>
  </si>
  <si>
    <t>OOM</t>
  </si>
  <si>
    <t>25.87 user, 4.40 system, 30.29 elapsed -- Max VSize = 77664KB, Max RSS = 37024KB</t>
  </si>
  <si>
    <t>Memtime Logs</t>
  </si>
  <si>
    <t>Time (s)</t>
  </si>
  <si>
    <t>Memory (MB)</t>
  </si>
  <si>
    <t>38.45 user, 5.36 system, 43.63 elapsed -- Max VSize = 79012KB, Max RSS = 38380KB</t>
  </si>
  <si>
    <t>18.91 user, 3.25 system, 22.09 elapsed -- Max VSize = 76768KB, Max RSS = 36192KB</t>
  </si>
  <si>
    <t>55.04 user, 7.30 system, 62.41 elapsed -- Max VSize = 80036KB, Max RSS = 39172KB</t>
  </si>
  <si>
    <t>State Space</t>
  </si>
  <si>
    <t>77.22 user, 10.46 system, 87.39 elapsed -- Max VSize = 82688KB, Max RSS = 41544KB</t>
  </si>
  <si>
    <t>0.01 user, 0.08 system, 0.10 elapsed -- Max VSize = 2008KB, Max RSS = 56KB</t>
  </si>
  <si>
    <t>0.12 user, 0.08 system, 0.21 elapsed -- Max VSize = 5992KB, Max RSS = 2620KB</t>
  </si>
  <si>
    <t>0.74 user, 0.09 system, 0.91 elapsed -- Max VSize = 9828KB, Max RSS = 6632KB</t>
  </si>
  <si>
    <t>4.24 user, 0.23 system, 4.54 elapsed -- Max VSize = 29492KB, Max RSS = 26316KB</t>
  </si>
  <si>
    <t>26.87 user, 1.06 system, 28.06 elapsed -- Max VSize = 114908KB, Max RSS = 111704KB</t>
  </si>
  <si>
    <t>196.26 user, 5.63 system, 202.40 elapsed -- Max VSize = 628240KB, Max RSS = 624236KB</t>
  </si>
  <si>
    <t>98.87 user, 16.72 system, 115.42 elapsed -- Max VSize = 84796KB, Max RSS = 43168KB</t>
  </si>
  <si>
    <t>129.84 user, 20.20 system, 149.96 elapsed -- Max VSize = 88184KB, Max RSS = 46612KB</t>
  </si>
  <si>
    <t>158.14 user, 31.09 system, 188.43 elapsed -- Max VSize = 90700KB, Max RSS = 49420KB</t>
  </si>
  <si>
    <t>196.61 user, 46.44 system, 242.33 elapsed -- Max VSize = 95048KB, Max RSS = 52216KB</t>
  </si>
  <si>
    <t>Memory Delta</t>
  </si>
  <si>
    <t>247.06 user, 63.28 system, 309.20 elapsed -- Max VSize = 98604KB, Max RSS = 56872KB</t>
  </si>
  <si>
    <t>523.19 user, 235.89 system, 756.19 elapsed -- Max VSize = 130076KB, Max RSS = 87352KB</t>
  </si>
  <si>
    <t>1187.38 user, 774.83 system, 1957.54 elapsed -- Max VSize = 175780KB, Max RSS = 128640KB</t>
  </si>
  <si>
    <t>2052.00 user, 1839.45 system, 3884.74 elapsed -- Max VSize = 228404KB, Max RSS = 180736KB</t>
  </si>
  <si>
    <t>MUX-SEM</t>
  </si>
  <si>
    <t>0.31 user, 0.71 system, 1.11 elapsed -- Max VSize = 69672KB, Max RSS = 28932KB</t>
  </si>
  <si>
    <t>0.28 user, 0.75 system, 1.11 elapsed -- Max VSize = 69784KB, Max RSS = 29052KB</t>
  </si>
  <si>
    <t>0.62 user, 0.96 system, 1.62 elapsed -- Max VSize = 71584KB, Max RSS = 31092KB</t>
  </si>
  <si>
    <t>1.01 user, 0.96 system, 2.02 elapsed -- Max VSize = 71592KB, Max RSS = 31040KB</t>
  </si>
  <si>
    <t>1.26 user, 0.99 system, 2.32 elapsed -- Max VSize = 71648KB, Max RSS = 31208KB</t>
  </si>
  <si>
    <t>1.65 user, 1.05 system, 2.72 elapsed -- Max VSize = 71676KB, Max RSS = 31080KB</t>
  </si>
  <si>
    <t>1.88 user, 0.97 system, 2.93 elapsed -- Max VSize = 71764KB, Max RSS = 31288KB</t>
  </si>
  <si>
    <t>2.10 user, 1.03 system, 3.22 elapsed -- Max VSize = 71744KB, Max RSS = 31312KB</t>
  </si>
  <si>
    <t>2.47 user, 0.94 system, 3.43 elapsed -- Max VSize = 71676KB, Max RSS = 31076KB</t>
  </si>
  <si>
    <t>2.58 user, 0.98 system, 3.63 elapsed -- Max VSize = 71764KB, Max RSS = 31372KB</t>
  </si>
  <si>
    <t>2.99 user, 1.18 system, 4.24 elapsed -- Max VSize = 71824KB, Max RSS = 31320KB</t>
  </si>
  <si>
    <t>3.38 user, 1.16 system, 4.54 elapsed -- Max VSize = 71688KB, Max RSS = 31324KB</t>
  </si>
  <si>
    <t>3.42 user, 0.97 system, 4.45 elapsed -- Max VSize = 71744KB, Max RSS = 31264KB</t>
  </si>
  <si>
    <t>4.58 user, 1.16 system, 5.76 elapsed -- Max VSize = 71640KB, Max RSS = 31284KB</t>
  </si>
  <si>
    <t>5.78 user, 1.25 system, 7.07 elapsed -- Max VSize = 71804KB, Max RSS = 31416KB</t>
  </si>
  <si>
    <t>6.75 user, 1.18 system, 7.97 elapsed -- Max VSize = 71824KB, Max RSS = 31424KB</t>
  </si>
  <si>
    <t>1.50 user, 0.98 system, 2.53 elapsed -- Max VSize = 71840KB, Max RSS = 31232KB</t>
  </si>
  <si>
    <t>0.00 user, 0.05 system, 0.10 elapsed -- Max VSize = 2008KB, Max RSS = 56KB</t>
  </si>
  <si>
    <t>8.54 user, 2.21 system, 10.79 elapsed -- Max VSize = 120600KB, Max RSS = 114664KB</t>
  </si>
  <si>
    <t>2.23 user, 0.40 system, 2.73 elapsed -- Max VSize = 31844KB, Max RSS = 28384KB</t>
  </si>
  <si>
    <t>0.20 user, 0.06 system, 0.30 elapsed -- Max VSize = 7784KB, Max RSS = 4396KB</t>
  </si>
  <si>
    <t>0.08 user, 0.06 system, 0.20 elapsed -- Max VSize = 6012KB, Max RSS = 2600KB</t>
  </si>
  <si>
    <t>0.02 user, 0.04 system, 0.10 elapsed -- Max VSize = 2008KB, Max RSS = 60KB</t>
  </si>
  <si>
    <t>0.66 user, 0.08 system, 0.81 elapsed -- Max VSize = 13440KB, Max RSS = 10224KB</t>
  </si>
  <si>
    <t>41.75 user, 7.40 system, 49.30 elapsed -- Max VSize = 289260KB, Max RSS = 278572KB</t>
  </si>
  <si>
    <t>280.12 user, 26.26 system, 306.78 elapsed -- Max VSize = 1010848KB, Max RSS = 996900KB</t>
  </si>
  <si>
    <t>2602.29 user, 106.58 system, 2711.79 elapsed -- Max VSize = 2857480KB, Max RSS = 2842316KB</t>
  </si>
  <si>
    <t>7.92 user, 1.18 system, 9.19 elapsed -- Max VSize = 72440KB, Max RSS = 31856KB</t>
  </si>
  <si>
    <t>8.83 user, 1.31 system, 10.17 elapsed -- Max VSize = 72024KB, Max RSS = 31664KB</t>
  </si>
  <si>
    <t>10.06 user, 1.49 system, 11.61 elapsed -- Max VSize = 72636KB, Max RSS = 31884KB</t>
  </si>
  <si>
    <t>11.38 user, 1.52 system, 12.92 elapsed -- Max VSize = 72740KB, Max RSS = 32100KB</t>
  </si>
  <si>
    <t>18.95 user, 2.04 system, 20.99 elapsed -- Max VSize = 73096KB, Max RSS = 32388KB</t>
  </si>
  <si>
    <t>29.53 user, 1.98 system, 31.62 elapsed -- Max VSize = 73616KB, Max RSS = 33124KB</t>
  </si>
  <si>
    <t>EXTRPOLATED</t>
  </si>
  <si>
    <t>34.57 user, 2.58 system, 37.17 elapsed -- Max VSize = 74156KB, Max RSS = 33532KB</t>
  </si>
  <si>
    <t>37.75 user, 2.88 system, 40.61 elapsed -- Max VSize = 74552KB, Max RSS = 33988KB</t>
  </si>
  <si>
    <t>44.36 user, 3.57 system, 47.89 elapsed -- Max VSize = 74644KB, Max RSS = 34004KB</t>
  </si>
  <si>
    <t>56.24 user, 3.42 system, 59.73 elapsed -- Max VSize = 76216KB, Max RSS = 35276KB</t>
  </si>
  <si>
    <t>64.69 user, 3.89 system, 68.59 elapsed -- Max VSize = 76352KB, Max RSS = 35508KB</t>
  </si>
  <si>
    <t>72.41 user, 4.58 system, 77.05 elapsed -- Max VSize = 76372KB, Max RSS = 35620KB</t>
  </si>
  <si>
    <t>78.60 user, 4.81 system, 83.24 elapsed -- Max VSize = 77744KB, Max RSS = 36332KB</t>
  </si>
  <si>
    <t>88.59 user, 5.89 system, 94.25 elapsed -- Max VSize = 77512KB, Max RSS = 36412KB</t>
  </si>
  <si>
    <t>2.73 user, 1.02 system, 3.82 elapsed -- Max VSize = 71776KB, Max RSS = 31388KB</t>
  </si>
  <si>
    <t>11.25 user, 0.27 system, 11.62 elapsed -- Max VSize = 38000KB, Max RSS = 34840KB</t>
  </si>
  <si>
    <t>246.44 user, 5.54 system, 252.51 elapsed -- Max VSize = 195372KB, Max RSS = 191636KB</t>
  </si>
  <si>
    <t>11173.53 user, 206.05 system, 11853.35 elapsed -- Max VSize = 1338652KB, Max RSS = 1333776KB</t>
  </si>
  <si>
    <t>0.00 user, 0.06 system, 0.10 elapsed -- Max VSize = 2004KB, Max RSS = 60KB</t>
  </si>
  <si>
    <t>0.24 user, 0.06 system, 0.40 elapsed -- Max VSize = 6756KB, Max RSS = 3748KB</t>
  </si>
  <si>
    <t>1.37 user, 0.09 system, 1.52 elapsed -- Max VSize = 11920KB, Max RSS = 8768KB</t>
  </si>
  <si>
    <t>0.05 user, 0.04 system, 0.10 elapsed -- Max VSize = 2004KB, Max RSS = 56KB</t>
  </si>
  <si>
    <t>oom</t>
  </si>
  <si>
    <t>0.30 user, 0.90 system, 1.21 elapsed -- Max VSize = 70060KB, Max RSS = 29420KB</t>
  </si>
  <si>
    <t>1.90 user, 1.09 system, 3.03 elapsed -- Max VSize = 75200KB, Max RSS = 34496KB</t>
  </si>
  <si>
    <t>1.88 user, 1.10 system, 3.03 elapsed -- Max VSize = 76240KB, Max RSS = 35380KB</t>
  </si>
  <si>
    <t>1.90 user, 1.12 system, 3.03 elapsed -- Max VSize = 75928KB, Max RSS = 35328KB</t>
  </si>
  <si>
    <t>1.88 user, 1.07 system, 3.03 elapsed -- Max VSize = 75968KB, Max RSS = 35344KB</t>
  </si>
  <si>
    <t>1.85 user, 1.16 system, 3.03 elapsed -- Max VSize = 75968KB, Max RSS = 35380KB</t>
  </si>
  <si>
    <t>1.92 user, 1.07 system, 3.03 elapsed -- Max VSize = 75972KB, Max RSS = 35372KB</t>
  </si>
  <si>
    <t>1.86 user, 1.11 system, 3.02 elapsed -- Max VSize = 75964KB, Max RSS = 35340KB</t>
  </si>
  <si>
    <t>1.89 user, 1.06 system, 3.03 elapsed -- Max VSize = 76160KB, Max RSS = 35472KB</t>
  </si>
  <si>
    <t>1.84 user, 1.12 system, 3.03 elapsed -- Max VSize = 75964KB, Max RSS = 35372KB</t>
  </si>
  <si>
    <t>1.76 user, 1.08 system, 2.93 elapsed -- Max VSize = 76216KB, Max RSS = 35476KB</t>
  </si>
  <si>
    <t>2.13 user, 1.16 system, 3.33 elapsed -- Max VSize = 76212KB, Max RSS = 35476KB</t>
  </si>
  <si>
    <t>1.88 user, 1.02 system, 2.93 elapsed -- Max VSize = 75972KB, Max RSS = 35384KB</t>
  </si>
  <si>
    <t>1.84 user, 1.03 system, 2.93 elapsed -- Max VSize = 76224KB, Max RSS = 35468KB</t>
  </si>
  <si>
    <t>1.86 user, 1.04 system, 2.93 elapsed -- Max VSize = 76184KB, Max RSS = 35428KB</t>
  </si>
  <si>
    <t>1.89 user, 1.14 system, 3.03 elapsed -- Max VSize = 75968KB, Max RSS = 35404KB</t>
  </si>
  <si>
    <t>1.83 user, 1.12 system, 3.03 elapsed -- Max VSize = 76200KB, Max RSS = 35560KB</t>
  </si>
  <si>
    <t>1.91 user, 1.11 system, 3.03 elapsed -- Max VSize = 76172KB, Max RSS = 35508KB</t>
  </si>
  <si>
    <t>SSATS</t>
  </si>
  <si>
    <t>189.54 user, 0.88 system, 190.70 elapsed -- Max VSize = 188384KB, Max RSS = 185280KB</t>
  </si>
  <si>
    <t>8.74 user, 0.09 system, 8.89 elapsed -- Max VSize = 26080KB, Max RSS = 23040KB</t>
  </si>
  <si>
    <t>0.56 user, 0.05 system, 0.71 elapsed -- Max VSize = 7944KB, Max RSS = 4900KB</t>
  </si>
  <si>
    <t>0.05 user, 0.04 system, 0.10 elapsed -- Max VSize = 2004KB, Max RSS = 60KB</t>
  </si>
  <si>
    <t>0.00 user, 0.04 system, 0.10 elapsed -- Max VSize = 2004KB, Max RSS = 60KB</t>
  </si>
  <si>
    <t>0.62 user, 1.08 system, 1.72 elapsed -- Max VSize = 72816KB, Max RSS = 32328KB</t>
  </si>
  <si>
    <t>3.44 user, 2.70 system, 5.83 elapsed -- Max VSize = 75724KB, Max RSS = 35316KB</t>
  </si>
  <si>
    <t>7.96 user, 1.95 system, 10.01 elapsed -- Max VSize = 81156KB, Max RSS = 40328KB</t>
  </si>
  <si>
    <t>15.13 user, 1.78 system, 16.85 elapsed -- Max VSize = 81904KB, Max RSS = 41548KB</t>
  </si>
  <si>
    <t>33.94 user, 2.25 system, 35.97 elapsed -- Max VSize = 82732KB, Max RSS = 41980KB</t>
  </si>
  <si>
    <t>57.37 user, 3.79 system, 60.62 elapsed -- Max VSize = 84528KB, Max RSS = 43544KB</t>
  </si>
  <si>
    <t>308.88 user, 17.44 system, 323.74 elapsed -- Max VSize = 93052KB, Max RSS = 51768KB</t>
  </si>
  <si>
    <t>203.26 user, 10.83 system, 212.30 elapsed -- Max VSize = 92060KB, Max RSS = 50000KB</t>
  </si>
  <si>
    <t>140.25 user, 7.50 system, 146.51 elapsed -- Max VSize = 88296KB, Max RSS = 47444KB</t>
  </si>
  <si>
    <t>94.31 user, 4.75 system, 98.30 elapsed -- Max VSize = 86312KB, Max RSS = 45684KB</t>
  </si>
  <si>
    <t>441.50 user, 35.64 system, 472.85 elapsed -- Max VSize = 97344KB, Max RSS = 55724KB</t>
  </si>
  <si>
    <t>597.72 user, 44.17 system, 636.91 elapsed -- Max VSize = 103676KB, Max RSS = 60060KB</t>
  </si>
  <si>
    <t>931.12 user, 106.35 system, 1028.67 elapsed -- Max VSize = 105852KB, Max RSS = 63356KB</t>
  </si>
  <si>
    <t>1340.53 user, 160.17 system, 1488.83 elapsed -- Max VSize = 114528KB, Max RSS = 71100KB</t>
  </si>
  <si>
    <t>1604.66 user, 235.67 system, 1824.80 elapsed -- Max VSize = 120604KB, Max RSS = 77700KB</t>
  </si>
  <si>
    <t>6862.34 user, 1797.23 system, 8599.07 elapsed -- Max VSize = 167004KB, Max RSS = 121212KB</t>
  </si>
  <si>
    <t>Time</t>
  </si>
  <si>
    <t>Memory</t>
  </si>
  <si>
    <t>MUX-SEM-RA</t>
  </si>
  <si>
    <t>MUX-INDEX-RA</t>
  </si>
  <si>
    <t>89.57 user, 2.52 system, 92.31 elapsed -- Max VSize = 192256KB, Max RSS = 189008KB</t>
  </si>
  <si>
    <t>19.27 user, 0.49 system, 19.82 elapsed -- Max VSize = 63532KB, Max RSS = 60480KB</t>
  </si>
  <si>
    <t>1.55 user, 0.36 system, 1.93 elapsed -- Max VSize = 11240KB, Max RSS = 8060KB</t>
  </si>
  <si>
    <t>463.24 user, 9.03 system, 472.97 elapsed -- Max VSize = 603600KB, Max RSS = 599956KB</t>
  </si>
  <si>
    <t>0.00 user, 0.06 system, 0.10 elapsed -- Max VSize = 2004KB, Max RSS = 56KB</t>
  </si>
  <si>
    <t>0.06 user, 0.06 system, 0.20 elapsed -- Max VSize = 5604KB, Max RSS = 2380KB</t>
  </si>
  <si>
    <t>0.16 user, 0.07 system, 0.30 elapsed -- Max VSize = 5856KB, Max RSS = 2652KB</t>
  </si>
  <si>
    <t>0.38 user, 0.07 system, 0.51 elapsed -- Max VSize = 6900KB, Max RSS = 3756KB</t>
  </si>
  <si>
    <t>4.80 user, 0.18 system, 5.05 elapsed -- Max VSize = 24164KB, Max RSS = 20972KB</t>
  </si>
  <si>
    <t>0.30 user, 0.91 system, 1.21 elapsed -- Max VSize = 69332KB, Max RSS = 28924KB</t>
  </si>
  <si>
    <t>2.10 user, 1.07 system, 3.22 elapsed -- Max VSize = 75560KB, Max RSS = 34952KB</t>
  </si>
  <si>
    <t>2.92 user, 1.05 system, 4.03 elapsed -- Max VSize = 77960KB, Max RSS = 37220KB</t>
  </si>
  <si>
    <t>3.76 user, 1.10 system, 4.85 elapsed -- Max VSize = 79520KB, Max RSS = 38852KB</t>
  </si>
  <si>
    <t>4.77 user, 1.15 system, 5.95 elapsed -- Max VSize = 80008KB, Max RSS = 39392KB</t>
  </si>
  <si>
    <t>7.74 user, 1.28 system, 8.98 elapsed -- Max VSize = 80340KB, Max RSS = 39852KB</t>
  </si>
  <si>
    <t>8.85 user, 1.38 system, 10.20 elapsed -- Max VSize = 80948KB, Max RSS = 40432KB</t>
  </si>
  <si>
    <t>5.76 user, 1.26 system, 6.98 elapsed -- Max VSize = 80220KB, Max RSS = 39700KB</t>
  </si>
  <si>
    <t>6.86 user, 1.24 system, 8.08 elapsed -- Max VSize = 80300KB, Max RSS = 39632KB</t>
  </si>
  <si>
    <t>10.94 user, 1.30 system, 12.12 elapsed -- Max VSize = 80848KB, Max RSS = 40448KB</t>
  </si>
  <si>
    <t>14.66 user, 1.77 system, 16.28 elapsed -- Max VSize = 81740KB, Max RSS = 41248KB</t>
  </si>
  <si>
    <t>23.42 user, 1.85 system, 25.05 elapsed -- Max VSize = 82172KB, Max RSS = 41484KB</t>
  </si>
  <si>
    <t>30.50 user, 2.19 system, 32.55 elapsed -- Max VSize = 82684KB, Max RSS = 41756KB</t>
  </si>
  <si>
    <t>30.71 user, 2.12 system, 32.52 elapsed -- Max VSize = 82824KB, Max RSS = 41908KB</t>
  </si>
  <si>
    <t>1.90 user, 1.10 system, 3.04 elapsed -- Max VSize = 75968KB, Max RSS = 35336KB</t>
  </si>
  <si>
    <t>1.89 user, 1.20 system, 3.13 elapsed -- Max VSize = 75972KB, Max RSS = 35360KB</t>
  </si>
  <si>
    <t>1.89 user, 1.10 system, 3.03 elapsed -- Max VSize = 75968KB, Max RSS = 35404KB</t>
  </si>
  <si>
    <t>1.90 user, 1.07 system, 3.03 elapsed -- Max VSize = 75964KB, Max RSS = 35332KB</t>
  </si>
  <si>
    <t>1.99 user, 1.08 system, 3.13 elapsed -- Max VSize = 75968KB, Max RSS = 35360KB</t>
  </si>
  <si>
    <t>14.78 user, 1.40 system, 16.16 elapsed -- Max VSize = 81392KB, Max RSS = 40768KB</t>
  </si>
  <si>
    <t>11.72 user, 1.50 system, 13.12 elapsed -- Max VSize = 81568KB, Max RSS = 41028KB</t>
  </si>
  <si>
    <t>12.62 user, 1.48 system, 14.04 elapsed -- Max VSize = 81576KB, Max RSS = 41092KB</t>
  </si>
  <si>
    <t>13.56 user, 1.56 system, 14.96 elapsed -- Max VSize = 81220KB, Max RSS = 40864KB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</si>
</sst>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chartsheet" Target="chartsheets/sheet11.xml"/><Relationship Id="rId18" Type="http://schemas.openxmlformats.org/officeDocument/2006/relationships/chartsheet" Target="chartsheets/sheet16.xml"/><Relationship Id="rId3" Type="http://schemas.openxmlformats.org/officeDocument/2006/relationships/chartsheet" Target="chartsheets/sheet1.xml"/><Relationship Id="rId21" Type="http://schemas.openxmlformats.org/officeDocument/2006/relationships/styles" Target="styles.xml"/><Relationship Id="rId7" Type="http://schemas.openxmlformats.org/officeDocument/2006/relationships/chartsheet" Target="chartsheets/sheet5.xml"/><Relationship Id="rId12" Type="http://schemas.openxmlformats.org/officeDocument/2006/relationships/chartsheet" Target="chartsheets/sheet10.xml"/><Relationship Id="rId17" Type="http://schemas.openxmlformats.org/officeDocument/2006/relationships/chartsheet" Target="chartsheets/sheet15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chartsheet" Target="chartsheets/sheet9.xml"/><Relationship Id="rId5" Type="http://schemas.openxmlformats.org/officeDocument/2006/relationships/chartsheet" Target="chartsheets/sheet3.xml"/><Relationship Id="rId15" Type="http://schemas.openxmlformats.org/officeDocument/2006/relationships/chartsheet" Target="chartsheets/sheet13.xml"/><Relationship Id="rId23" Type="http://schemas.openxmlformats.org/officeDocument/2006/relationships/calcChain" Target="calcChain.xml"/><Relationship Id="rId10" Type="http://schemas.openxmlformats.org/officeDocument/2006/relationships/chartsheet" Target="chartsheets/sheet8.xml"/><Relationship Id="rId19" Type="http://schemas.openxmlformats.org/officeDocument/2006/relationships/chartsheet" Target="chartsheets/sheet17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7.xml"/><Relationship Id="rId14" Type="http://schemas.openxmlformats.org/officeDocument/2006/relationships/chartsheet" Target="chartsheets/sheet12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Summary!$B$3</c:f>
              <c:strCache>
                <c:ptCount val="1"/>
                <c:pt idx="0">
                  <c:v>NFA Passel</c:v>
                </c:pt>
              </c:strCache>
            </c:strRef>
          </c:tx>
          <c:spPr>
            <a:ln w="254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Summary!$B$4:$B$33</c:f>
              <c:numCache>
                <c:formatCode>0.00</c:formatCode>
                <c:ptCount val="30"/>
                <c:pt idx="0">
                  <c:v>1.61</c:v>
                </c:pt>
                <c:pt idx="1">
                  <c:v>2.83</c:v>
                </c:pt>
                <c:pt idx="2">
                  <c:v>4.75</c:v>
                </c:pt>
                <c:pt idx="3">
                  <c:v>7.88</c:v>
                </c:pt>
                <c:pt idx="4">
                  <c:v>13.67</c:v>
                </c:pt>
                <c:pt idx="5">
                  <c:v>22.09</c:v>
                </c:pt>
                <c:pt idx="6">
                  <c:v>30.29</c:v>
                </c:pt>
                <c:pt idx="7">
                  <c:v>43.63</c:v>
                </c:pt>
                <c:pt idx="8">
                  <c:v>62.41</c:v>
                </c:pt>
                <c:pt idx="9">
                  <c:v>87.39</c:v>
                </c:pt>
                <c:pt idx="10">
                  <c:v>115.42</c:v>
                </c:pt>
                <c:pt idx="11">
                  <c:v>149.96</c:v>
                </c:pt>
                <c:pt idx="12">
                  <c:v>188.43</c:v>
                </c:pt>
                <c:pt idx="13">
                  <c:v>242.33</c:v>
                </c:pt>
                <c:pt idx="14">
                  <c:v>309.2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756.19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1957.54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3884.74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Summary!$C$3</c:f>
              <c:strCache>
                <c:ptCount val="1"/>
                <c:pt idx="0">
                  <c:v>NFA Phaver</c:v>
                </c:pt>
              </c:strCache>
            </c:strRef>
          </c:tx>
          <c:spPr>
            <a:ln w="254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Summary!$A$3:$A$33</c:f>
              <c:strCache>
                <c:ptCount val="31"/>
                <c:pt idx="0">
                  <c:v>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strCache>
            </c:strRef>
          </c:xVal>
          <c:yVal>
            <c:numRef>
              <c:f>Summary!$C$3:$C$33</c:f>
              <c:numCache>
                <c:formatCode>0.00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0.21</c:v>
                </c:pt>
                <c:pt idx="3">
                  <c:v>0.91</c:v>
                </c:pt>
                <c:pt idx="4">
                  <c:v>4.54</c:v>
                </c:pt>
                <c:pt idx="5">
                  <c:v>28.06</c:v>
                </c:pt>
                <c:pt idx="6">
                  <c:v>202.4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Summary!$F$3</c:f>
              <c:strCache>
                <c:ptCount val="1"/>
                <c:pt idx="0">
                  <c:v>MUX-SEM Passel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xVal>
            <c:strRef>
              <c:f>Summary!$A$3:$A$33</c:f>
              <c:strCache>
                <c:ptCount val="31"/>
                <c:pt idx="0">
                  <c:v>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strCache>
            </c:strRef>
          </c:xVal>
          <c:yVal>
            <c:numRef>
              <c:f>Summary!$F$4:$F$33</c:f>
              <c:numCache>
                <c:formatCode>0.00</c:formatCode>
                <c:ptCount val="30"/>
                <c:pt idx="0">
                  <c:v>1.1100000000000001</c:v>
                </c:pt>
                <c:pt idx="1">
                  <c:v>1.1100000000000001</c:v>
                </c:pt>
                <c:pt idx="2">
                  <c:v>1.62</c:v>
                </c:pt>
                <c:pt idx="3">
                  <c:v>2.02</c:v>
                </c:pt>
                <c:pt idx="4">
                  <c:v>2.3199999999999998</c:v>
                </c:pt>
                <c:pt idx="5">
                  <c:v>2.5299999999999998</c:v>
                </c:pt>
                <c:pt idx="6">
                  <c:v>2.72</c:v>
                </c:pt>
                <c:pt idx="7">
                  <c:v>2.93</c:v>
                </c:pt>
                <c:pt idx="8">
                  <c:v>3.22</c:v>
                </c:pt>
                <c:pt idx="9">
                  <c:v>3.43</c:v>
                </c:pt>
                <c:pt idx="10">
                  <c:v>3.63</c:v>
                </c:pt>
                <c:pt idx="11">
                  <c:v>3.82</c:v>
                </c:pt>
                <c:pt idx="12">
                  <c:v>4.24</c:v>
                </c:pt>
                <c:pt idx="13">
                  <c:v>4.54</c:v>
                </c:pt>
                <c:pt idx="14">
                  <c:v>4.45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5.76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7.07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7.97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Summary!$G$3</c:f>
              <c:strCache>
                <c:ptCount val="1"/>
                <c:pt idx="0">
                  <c:v>MUX-SEM Phaver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Summary!$G$3:$G$33</c:f>
              <c:numCache>
                <c:formatCode>0.00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0.81</c:v>
                </c:pt>
                <c:pt idx="6">
                  <c:v>2.73</c:v>
                </c:pt>
                <c:pt idx="7">
                  <c:v>10.79</c:v>
                </c:pt>
                <c:pt idx="8">
                  <c:v>49.3</c:v>
                </c:pt>
                <c:pt idx="9">
                  <c:v>306.77999999999997</c:v>
                </c:pt>
                <c:pt idx="10">
                  <c:v>2711.79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Summary!$J$3</c:f>
              <c:strCache>
                <c:ptCount val="1"/>
                <c:pt idx="0">
                  <c:v>MUX-INDEX-RA Passel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Summary!$J$4:$J$33</c:f>
              <c:numCache>
                <c:formatCode>0.00</c:formatCode>
                <c:ptCount val="30"/>
                <c:pt idx="0">
                  <c:v>1.21</c:v>
                </c:pt>
                <c:pt idx="1">
                  <c:v>3.03</c:v>
                </c:pt>
                <c:pt idx="2">
                  <c:v>3.03</c:v>
                </c:pt>
                <c:pt idx="3">
                  <c:v>3.03</c:v>
                </c:pt>
                <c:pt idx="4">
                  <c:v>3.03</c:v>
                </c:pt>
                <c:pt idx="5">
                  <c:v>3.03</c:v>
                </c:pt>
                <c:pt idx="6">
                  <c:v>3.03</c:v>
                </c:pt>
                <c:pt idx="7">
                  <c:v>3.03</c:v>
                </c:pt>
                <c:pt idx="8">
                  <c:v>3.03</c:v>
                </c:pt>
                <c:pt idx="9">
                  <c:v>3.03</c:v>
                </c:pt>
                <c:pt idx="10">
                  <c:v>3.13</c:v>
                </c:pt>
                <c:pt idx="11">
                  <c:v>3.03</c:v>
                </c:pt>
                <c:pt idx="12">
                  <c:v>3.03</c:v>
                </c:pt>
                <c:pt idx="13">
                  <c:v>3.13</c:v>
                </c:pt>
                <c:pt idx="14">
                  <c:v>2.93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3.33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3.04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2.93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Summary!$K$3</c:f>
              <c:strCache>
                <c:ptCount val="1"/>
                <c:pt idx="0">
                  <c:v>MUX-INDEX-RA Phaver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Summary!$K$4:$K$33</c:f>
              <c:numCache>
                <c:formatCode>0.00</c:formatCode>
                <c:ptCount val="30"/>
                <c:pt idx="0">
                  <c:v>0.1</c:v>
                </c:pt>
                <c:pt idx="1">
                  <c:v>0.1</c:v>
                </c:pt>
                <c:pt idx="2">
                  <c:v>0.4</c:v>
                </c:pt>
                <c:pt idx="3">
                  <c:v>1.52</c:v>
                </c:pt>
                <c:pt idx="4">
                  <c:v>11.62</c:v>
                </c:pt>
                <c:pt idx="5">
                  <c:v>252.51</c:v>
                </c:pt>
                <c:pt idx="6">
                  <c:v>11853.35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Summary!$N$3</c:f>
              <c:strCache>
                <c:ptCount val="1"/>
                <c:pt idx="0">
                  <c:v>SSATS Passel</c:v>
                </c:pt>
              </c:strCache>
            </c:strRef>
          </c:tx>
          <c:spPr>
            <a:ln w="254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triang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Summary!$N$4:$N$33</c:f>
              <c:numCache>
                <c:formatCode>0.00</c:formatCode>
                <c:ptCount val="30"/>
                <c:pt idx="0">
                  <c:v>1.72</c:v>
                </c:pt>
                <c:pt idx="1">
                  <c:v>5.83</c:v>
                </c:pt>
                <c:pt idx="2">
                  <c:v>10.01</c:v>
                </c:pt>
                <c:pt idx="3">
                  <c:v>16.850000000000001</c:v>
                </c:pt>
                <c:pt idx="4">
                  <c:v>35.97</c:v>
                </c:pt>
                <c:pt idx="5">
                  <c:v>60.62</c:v>
                </c:pt>
                <c:pt idx="6">
                  <c:v>98.3</c:v>
                </c:pt>
                <c:pt idx="7">
                  <c:v>146.51</c:v>
                </c:pt>
                <c:pt idx="8">
                  <c:v>212.3</c:v>
                </c:pt>
                <c:pt idx="9">
                  <c:v>323.74</c:v>
                </c:pt>
                <c:pt idx="10">
                  <c:v>472.85</c:v>
                </c:pt>
                <c:pt idx="11">
                  <c:v>636.91</c:v>
                </c:pt>
                <c:pt idx="12">
                  <c:v>1028.67</c:v>
                </c:pt>
                <c:pt idx="13">
                  <c:v>1340.53</c:v>
                </c:pt>
                <c:pt idx="14">
                  <c:v>1824.8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8599.07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Summary!$O$3</c:f>
              <c:strCache>
                <c:ptCount val="1"/>
                <c:pt idx="0">
                  <c:v>SSATS Phaver</c:v>
                </c:pt>
              </c:strCache>
            </c:strRef>
          </c:tx>
          <c:spPr>
            <a:ln w="254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Summary!$O$4:$O$33</c:f>
              <c:numCache>
                <c:formatCode>0.00</c:formatCode>
                <c:ptCount val="30"/>
                <c:pt idx="0">
                  <c:v>0.1</c:v>
                </c:pt>
                <c:pt idx="1">
                  <c:v>0.1</c:v>
                </c:pt>
                <c:pt idx="2">
                  <c:v>0.71</c:v>
                </c:pt>
                <c:pt idx="3">
                  <c:v>8.89</c:v>
                </c:pt>
                <c:pt idx="4">
                  <c:v>190.7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Summary!$R$3</c:f>
              <c:strCache>
                <c:ptCount val="1"/>
                <c:pt idx="0">
                  <c:v>MUX-SEM-RA Passel</c:v>
                </c:pt>
              </c:strCache>
            </c:strRef>
          </c:tx>
          <c:spPr>
            <a:ln w="254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triang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Summary!$R$4:$R$33</c:f>
              <c:numCache>
                <c:formatCode>0.00</c:formatCode>
                <c:ptCount val="30"/>
                <c:pt idx="0">
                  <c:v>1.21</c:v>
                </c:pt>
                <c:pt idx="1">
                  <c:v>3.22</c:v>
                </c:pt>
                <c:pt idx="2">
                  <c:v>4.03</c:v>
                </c:pt>
                <c:pt idx="3">
                  <c:v>4.8499999999999996</c:v>
                </c:pt>
                <c:pt idx="4">
                  <c:v>5.95</c:v>
                </c:pt>
                <c:pt idx="5">
                  <c:v>6.98</c:v>
                </c:pt>
                <c:pt idx="6">
                  <c:v>8.08</c:v>
                </c:pt>
                <c:pt idx="7">
                  <c:v>8.98</c:v>
                </c:pt>
                <c:pt idx="8">
                  <c:v>10.199999999999999</c:v>
                </c:pt>
                <c:pt idx="9">
                  <c:v>12.12</c:v>
                </c:pt>
                <c:pt idx="10">
                  <c:v>16.16</c:v>
                </c:pt>
                <c:pt idx="11">
                  <c:v>13.12</c:v>
                </c:pt>
                <c:pt idx="12">
                  <c:v>14.04</c:v>
                </c:pt>
                <c:pt idx="13">
                  <c:v>14.96</c:v>
                </c:pt>
                <c:pt idx="14">
                  <c:v>16.28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25.05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32.549999999999997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32.520000000000003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Summary!$S$3</c:f>
              <c:strCache>
                <c:ptCount val="1"/>
                <c:pt idx="0">
                  <c:v>MUX-SEM-RA Phaver</c:v>
                </c:pt>
              </c:strCache>
            </c:strRef>
          </c:tx>
          <c:spPr>
            <a:ln w="254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Summary!$S$4:$S$33</c:f>
              <c:numCache>
                <c:formatCode>0.00</c:formatCode>
                <c:ptCount val="3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0.51</c:v>
                </c:pt>
                <c:pt idx="4">
                  <c:v>1.93</c:v>
                </c:pt>
                <c:pt idx="5">
                  <c:v>5.05</c:v>
                </c:pt>
                <c:pt idx="6">
                  <c:v>19.82</c:v>
                </c:pt>
                <c:pt idx="7">
                  <c:v>92.31</c:v>
                </c:pt>
                <c:pt idx="8">
                  <c:v>472.97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542792"/>
        <c:axId val="338549064"/>
      </c:scatterChart>
      <c:valAx>
        <c:axId val="338542792"/>
        <c:scaling>
          <c:orientation val="minMax"/>
          <c:max val="31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9064"/>
        <c:crossesAt val="1.0000000000000002E-2"/>
        <c:crossBetween val="midCat"/>
      </c:valAx>
      <c:valAx>
        <c:axId val="3385490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Runtime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279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Results!$C$4</c:f>
              <c:strCache>
                <c:ptCount val="1"/>
                <c:pt idx="0">
                  <c:v>Passel Time (s)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0"/>
          </c:trendline>
          <c:val>
            <c:numRef>
              <c:f>Results!$C$5:$C$34</c:f>
              <c:numCache>
                <c:formatCode>0.00</c:formatCode>
                <c:ptCount val="30"/>
                <c:pt idx="0">
                  <c:v>1.61</c:v>
                </c:pt>
                <c:pt idx="1">
                  <c:v>2.83</c:v>
                </c:pt>
                <c:pt idx="2">
                  <c:v>4.75</c:v>
                </c:pt>
                <c:pt idx="3">
                  <c:v>7.88</c:v>
                </c:pt>
                <c:pt idx="4">
                  <c:v>13.67</c:v>
                </c:pt>
                <c:pt idx="5">
                  <c:v>22.09</c:v>
                </c:pt>
                <c:pt idx="6">
                  <c:v>30.29</c:v>
                </c:pt>
                <c:pt idx="7">
                  <c:v>43.63</c:v>
                </c:pt>
                <c:pt idx="8">
                  <c:v>62.41</c:v>
                </c:pt>
                <c:pt idx="9">
                  <c:v>87.39</c:v>
                </c:pt>
                <c:pt idx="10">
                  <c:v>115.42</c:v>
                </c:pt>
                <c:pt idx="11">
                  <c:v>149.96</c:v>
                </c:pt>
                <c:pt idx="12">
                  <c:v>188.43</c:v>
                </c:pt>
                <c:pt idx="13">
                  <c:v>242.33</c:v>
                </c:pt>
                <c:pt idx="14">
                  <c:v>309.2</c:v>
                </c:pt>
                <c:pt idx="19">
                  <c:v>756.19</c:v>
                </c:pt>
                <c:pt idx="24">
                  <c:v>1957.54</c:v>
                </c:pt>
                <c:pt idx="29">
                  <c:v>3884.74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Results!$G$4</c:f>
              <c:strCache>
                <c:ptCount val="1"/>
                <c:pt idx="0">
                  <c:v>Phaver Time (s)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Results!$G$5:$G$34</c:f>
              <c:numCache>
                <c:formatCode>0.00</c:formatCode>
                <c:ptCount val="30"/>
                <c:pt idx="0">
                  <c:v>0.1</c:v>
                </c:pt>
                <c:pt idx="1">
                  <c:v>0.21</c:v>
                </c:pt>
                <c:pt idx="2">
                  <c:v>0.91</c:v>
                </c:pt>
                <c:pt idx="3">
                  <c:v>4.54</c:v>
                </c:pt>
                <c:pt idx="4">
                  <c:v>28.06</c:v>
                </c:pt>
                <c:pt idx="5">
                  <c:v>202.4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046656"/>
        <c:axId val="339041560"/>
      </c:lineChart>
      <c:catAx>
        <c:axId val="339046656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1560"/>
        <c:crosses val="autoZero"/>
        <c:auto val="1"/>
        <c:lblAlgn val="ctr"/>
        <c:lblOffset val="100"/>
        <c:tickLblSkip val="4"/>
        <c:noMultiLvlLbl val="0"/>
      </c:catAx>
      <c:valAx>
        <c:axId val="339041560"/>
        <c:scaling>
          <c:orientation val="minMax"/>
          <c:max val="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6656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Results!$D$4</c:f>
              <c:strCache>
                <c:ptCount val="1"/>
                <c:pt idx="0">
                  <c:v>Passel Memory (MB)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val>
            <c:numRef>
              <c:f>Results!$D$5:$D$34</c:f>
              <c:numCache>
                <c:formatCode>0.00</c:formatCode>
                <c:ptCount val="30"/>
                <c:pt idx="0">
                  <c:v>68.9453125</c:v>
                </c:pt>
                <c:pt idx="1">
                  <c:v>71.671875</c:v>
                </c:pt>
                <c:pt idx="2">
                  <c:v>72.78515625</c:v>
                </c:pt>
                <c:pt idx="3">
                  <c:v>73.59765625</c:v>
                </c:pt>
                <c:pt idx="4">
                  <c:v>74.234375</c:v>
                </c:pt>
                <c:pt idx="5">
                  <c:v>74.96875</c:v>
                </c:pt>
                <c:pt idx="6">
                  <c:v>75.84375</c:v>
                </c:pt>
                <c:pt idx="7">
                  <c:v>77.16015625</c:v>
                </c:pt>
                <c:pt idx="8">
                  <c:v>78.16015625</c:v>
                </c:pt>
                <c:pt idx="9">
                  <c:v>80.75</c:v>
                </c:pt>
                <c:pt idx="10">
                  <c:v>82.80859375</c:v>
                </c:pt>
                <c:pt idx="11">
                  <c:v>86.1171875</c:v>
                </c:pt>
                <c:pt idx="12">
                  <c:v>88.57421875</c:v>
                </c:pt>
                <c:pt idx="13">
                  <c:v>92.8203125</c:v>
                </c:pt>
                <c:pt idx="14">
                  <c:v>96.29296875</c:v>
                </c:pt>
                <c:pt idx="19">
                  <c:v>127.02734375</c:v>
                </c:pt>
                <c:pt idx="24">
                  <c:v>171.66015625</c:v>
                </c:pt>
                <c:pt idx="29">
                  <c:v>223.05078125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Results!$H$4</c:f>
              <c:strCache>
                <c:ptCount val="1"/>
                <c:pt idx="0">
                  <c:v>Phaver Memory (MB)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Results!$H$5:$H$34</c:f>
              <c:numCache>
                <c:formatCode>0.00</c:formatCode>
                <c:ptCount val="30"/>
                <c:pt idx="0">
                  <c:v>1.9609375</c:v>
                </c:pt>
                <c:pt idx="1">
                  <c:v>5.8515625</c:v>
                </c:pt>
                <c:pt idx="2">
                  <c:v>9.59765625</c:v>
                </c:pt>
                <c:pt idx="3">
                  <c:v>28.80078125</c:v>
                </c:pt>
                <c:pt idx="4">
                  <c:v>112.21484375</c:v>
                </c:pt>
                <c:pt idx="5">
                  <c:v>613.515625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042736"/>
        <c:axId val="339045480"/>
      </c:lineChart>
      <c:catAx>
        <c:axId val="339042736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5480"/>
        <c:crosses val="autoZero"/>
        <c:auto val="1"/>
        <c:lblAlgn val="ctr"/>
        <c:lblOffset val="100"/>
        <c:tickLblSkip val="4"/>
        <c:noMultiLvlLbl val="0"/>
      </c:catAx>
      <c:valAx>
        <c:axId val="339045480"/>
        <c:scaling>
          <c:logBase val="10"/>
          <c:orientation val="minMax"/>
          <c:max val="1000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2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Results!$E$3</c:f>
              <c:strCache>
                <c:ptCount val="1"/>
                <c:pt idx="0">
                  <c:v>Memory Delta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1171478565179352E-2"/>
                  <c:y val="-0.261506999125109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val>
            <c:numRef>
              <c:f>Results!$E$4:$E$19</c:f>
              <c:numCache>
                <c:formatCode>0.00</c:formatCode>
                <c:ptCount val="16"/>
                <c:pt idx="1">
                  <c:v>0</c:v>
                </c:pt>
                <c:pt idx="2">
                  <c:v>2.7265625</c:v>
                </c:pt>
                <c:pt idx="3">
                  <c:v>1.11328125</c:v>
                </c:pt>
                <c:pt idx="4">
                  <c:v>0.8125</c:v>
                </c:pt>
                <c:pt idx="5">
                  <c:v>0.63671875</c:v>
                </c:pt>
                <c:pt idx="6">
                  <c:v>0.734375</c:v>
                </c:pt>
                <c:pt idx="7">
                  <c:v>0.875</c:v>
                </c:pt>
                <c:pt idx="8">
                  <c:v>1.31640625</c:v>
                </c:pt>
                <c:pt idx="9">
                  <c:v>1</c:v>
                </c:pt>
                <c:pt idx="10">
                  <c:v>2.58984375</c:v>
                </c:pt>
                <c:pt idx="11">
                  <c:v>2.05859375</c:v>
                </c:pt>
                <c:pt idx="12">
                  <c:v>3.30859375</c:v>
                </c:pt>
                <c:pt idx="13">
                  <c:v>2.45703125</c:v>
                </c:pt>
                <c:pt idx="14">
                  <c:v>4.24609375</c:v>
                </c:pt>
                <c:pt idx="15">
                  <c:v>3.47265625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9043128"/>
        <c:axId val="339040776"/>
      </c:lineChart>
      <c:catAx>
        <c:axId val="339043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0776"/>
        <c:crosses val="autoZero"/>
        <c:auto val="1"/>
        <c:lblAlgn val="ctr"/>
        <c:lblOffset val="100"/>
        <c:noMultiLvlLbl val="0"/>
      </c:catAx>
      <c:valAx>
        <c:axId val="33904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3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635850286380069E-2"/>
          <c:y val="7.487208929533358E-2"/>
          <c:w val="0.90124842101620228"/>
          <c:h val="0.87829850191605774"/>
        </c:manualLayout>
      </c:layout>
      <c:lineChart>
        <c:grouping val="standard"/>
        <c:varyColors val="0"/>
        <c:ser>
          <c:idx val="0"/>
          <c:order val="0"/>
          <c:tx>
            <c:strRef>
              <c:f>Results!$B$3</c:f>
              <c:strCache>
                <c:ptCount val="1"/>
                <c:pt idx="0">
                  <c:v>State Space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4.730560474358457E-2"/>
                  <c:y val="-5.67041517472612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val>
            <c:numRef>
              <c:f>Results!$B$4:$B$34</c:f>
              <c:numCache>
                <c:formatCode>General</c:formatCode>
                <c:ptCount val="31"/>
                <c:pt idx="1">
                  <c:v>5</c:v>
                </c:pt>
                <c:pt idx="2">
                  <c:v>25</c:v>
                </c:pt>
                <c:pt idx="3">
                  <c:v>125</c:v>
                </c:pt>
                <c:pt idx="4">
                  <c:v>625</c:v>
                </c:pt>
                <c:pt idx="5">
                  <c:v>3125</c:v>
                </c:pt>
                <c:pt idx="6">
                  <c:v>15625</c:v>
                </c:pt>
                <c:pt idx="7">
                  <c:v>78125</c:v>
                </c:pt>
                <c:pt idx="8">
                  <c:v>390625</c:v>
                </c:pt>
                <c:pt idx="9">
                  <c:v>1953125</c:v>
                </c:pt>
                <c:pt idx="10">
                  <c:v>9765625</c:v>
                </c:pt>
                <c:pt idx="11">
                  <c:v>48828125</c:v>
                </c:pt>
                <c:pt idx="12">
                  <c:v>244140625</c:v>
                </c:pt>
                <c:pt idx="13">
                  <c:v>1220703125</c:v>
                </c:pt>
                <c:pt idx="14">
                  <c:v>6103515625</c:v>
                </c:pt>
                <c:pt idx="15">
                  <c:v>30517578125</c:v>
                </c:pt>
                <c:pt idx="16">
                  <c:v>152587890625</c:v>
                </c:pt>
                <c:pt idx="17">
                  <c:v>762939453125</c:v>
                </c:pt>
                <c:pt idx="18">
                  <c:v>3814697265625</c:v>
                </c:pt>
                <c:pt idx="19">
                  <c:v>19073486328125</c:v>
                </c:pt>
                <c:pt idx="20">
                  <c:v>95367431640625</c:v>
                </c:pt>
                <c:pt idx="21">
                  <c:v>476837158203125</c:v>
                </c:pt>
                <c:pt idx="22">
                  <c:v>2384185791015625</c:v>
                </c:pt>
                <c:pt idx="23">
                  <c:v>1.1920928955078124E+16</c:v>
                </c:pt>
                <c:pt idx="24">
                  <c:v>5.9604644775390624E+16</c:v>
                </c:pt>
                <c:pt idx="25">
                  <c:v>2.9802322387695315E+17</c:v>
                </c:pt>
                <c:pt idx="26">
                  <c:v>1.4901161193847657E+18</c:v>
                </c:pt>
                <c:pt idx="27">
                  <c:v>7.4505805969238282E+18</c:v>
                </c:pt>
                <c:pt idx="28">
                  <c:v>3.7252902984619139E+19</c:v>
                </c:pt>
                <c:pt idx="29">
                  <c:v>1.8626451492309569E+20</c:v>
                </c:pt>
                <c:pt idx="30">
                  <c:v>9.3132257461547853E+20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9041168"/>
        <c:axId val="339043520"/>
      </c:lineChart>
      <c:catAx>
        <c:axId val="339041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3520"/>
        <c:crosses val="autoZero"/>
        <c:auto val="1"/>
        <c:lblAlgn val="ctr"/>
        <c:lblOffset val="100"/>
        <c:noMultiLvlLbl val="0"/>
      </c:catAx>
      <c:valAx>
        <c:axId val="33904352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1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Results!$K$4</c:f>
              <c:strCache>
                <c:ptCount val="1"/>
                <c:pt idx="0">
                  <c:v>Passel Time (s)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0"/>
          </c:trendline>
          <c:val>
            <c:numRef>
              <c:f>Results!$K$5:$K$304</c:f>
              <c:numCache>
                <c:formatCode>0.00</c:formatCode>
                <c:ptCount val="300"/>
                <c:pt idx="0">
                  <c:v>1.1100000000000001</c:v>
                </c:pt>
                <c:pt idx="1">
                  <c:v>1.1100000000000001</c:v>
                </c:pt>
                <c:pt idx="2">
                  <c:v>1.62</c:v>
                </c:pt>
                <c:pt idx="3">
                  <c:v>2.02</c:v>
                </c:pt>
                <c:pt idx="4">
                  <c:v>2.3199999999999998</c:v>
                </c:pt>
                <c:pt idx="5">
                  <c:v>2.5299999999999998</c:v>
                </c:pt>
                <c:pt idx="6">
                  <c:v>2.72</c:v>
                </c:pt>
                <c:pt idx="7">
                  <c:v>2.93</c:v>
                </c:pt>
                <c:pt idx="8">
                  <c:v>3.22</c:v>
                </c:pt>
                <c:pt idx="9">
                  <c:v>3.43</c:v>
                </c:pt>
                <c:pt idx="10">
                  <c:v>3.63</c:v>
                </c:pt>
                <c:pt idx="11">
                  <c:v>3.82</c:v>
                </c:pt>
                <c:pt idx="12">
                  <c:v>4.24</c:v>
                </c:pt>
                <c:pt idx="13">
                  <c:v>4.54</c:v>
                </c:pt>
                <c:pt idx="14">
                  <c:v>4.45</c:v>
                </c:pt>
                <c:pt idx="19">
                  <c:v>5.76</c:v>
                </c:pt>
                <c:pt idx="24">
                  <c:v>7.07</c:v>
                </c:pt>
                <c:pt idx="29">
                  <c:v>7.97</c:v>
                </c:pt>
                <c:pt idx="34" formatCode="General">
                  <c:v>9.19</c:v>
                </c:pt>
                <c:pt idx="39" formatCode="General">
                  <c:v>10.17</c:v>
                </c:pt>
                <c:pt idx="44" formatCode="General">
                  <c:v>11.61</c:v>
                </c:pt>
                <c:pt idx="49" formatCode="General">
                  <c:v>12.92</c:v>
                </c:pt>
                <c:pt idx="74" formatCode="General">
                  <c:v>20.99</c:v>
                </c:pt>
                <c:pt idx="99" formatCode="General">
                  <c:v>31.62</c:v>
                </c:pt>
                <c:pt idx="124" formatCode="General">
                  <c:v>37.17</c:v>
                </c:pt>
                <c:pt idx="149" formatCode="General">
                  <c:v>40.61</c:v>
                </c:pt>
                <c:pt idx="174" formatCode="General">
                  <c:v>47.89</c:v>
                </c:pt>
                <c:pt idx="199" formatCode="General">
                  <c:v>59.73</c:v>
                </c:pt>
                <c:pt idx="224" formatCode="General">
                  <c:v>68.59</c:v>
                </c:pt>
                <c:pt idx="249" formatCode="General">
                  <c:v>77.05</c:v>
                </c:pt>
                <c:pt idx="274" formatCode="General">
                  <c:v>83.24</c:v>
                </c:pt>
                <c:pt idx="299" formatCode="General">
                  <c:v>94.25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Results!$O$4</c:f>
              <c:strCache>
                <c:ptCount val="1"/>
                <c:pt idx="0">
                  <c:v>Phaver Time (s)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Results!$O$5:$O$304</c:f>
              <c:numCache>
                <c:formatCode>0.00</c:formatCode>
                <c:ptCount val="300"/>
                <c:pt idx="0">
                  <c:v>0.1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0.81</c:v>
                </c:pt>
                <c:pt idx="5">
                  <c:v>2.73</c:v>
                </c:pt>
                <c:pt idx="6">
                  <c:v>10.79</c:v>
                </c:pt>
                <c:pt idx="7">
                  <c:v>49.3</c:v>
                </c:pt>
                <c:pt idx="8">
                  <c:v>306.77999999999997</c:v>
                </c:pt>
                <c:pt idx="9">
                  <c:v>2711.79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041952"/>
        <c:axId val="339039600"/>
      </c:lineChart>
      <c:catAx>
        <c:axId val="3390419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39600"/>
        <c:crosses val="autoZero"/>
        <c:auto val="1"/>
        <c:lblAlgn val="ctr"/>
        <c:lblOffset val="100"/>
        <c:tickLblSkip val="25"/>
        <c:tickMarkSkip val="25"/>
        <c:noMultiLvlLbl val="0"/>
      </c:catAx>
      <c:valAx>
        <c:axId val="339039600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Results!$L$4</c:f>
              <c:strCache>
                <c:ptCount val="1"/>
                <c:pt idx="0">
                  <c:v>Passel Memory (MB)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val>
            <c:numRef>
              <c:f>Results!$L$5:$L$304</c:f>
              <c:numCache>
                <c:formatCode>0.00</c:formatCode>
                <c:ptCount val="300"/>
                <c:pt idx="0">
                  <c:v>68.0390625</c:v>
                </c:pt>
                <c:pt idx="1">
                  <c:v>68.1484375</c:v>
                </c:pt>
                <c:pt idx="2">
                  <c:v>69.90625</c:v>
                </c:pt>
                <c:pt idx="3">
                  <c:v>69.9140625</c:v>
                </c:pt>
                <c:pt idx="4">
                  <c:v>69.96875</c:v>
                </c:pt>
                <c:pt idx="5">
                  <c:v>70.15625</c:v>
                </c:pt>
                <c:pt idx="6">
                  <c:v>69.99609375</c:v>
                </c:pt>
                <c:pt idx="7">
                  <c:v>70.08203125</c:v>
                </c:pt>
                <c:pt idx="8">
                  <c:v>70.0625</c:v>
                </c:pt>
                <c:pt idx="9">
                  <c:v>69.99609375</c:v>
                </c:pt>
                <c:pt idx="10">
                  <c:v>70.08203125</c:v>
                </c:pt>
                <c:pt idx="11">
                  <c:v>70.09375</c:v>
                </c:pt>
                <c:pt idx="12">
                  <c:v>70.140625</c:v>
                </c:pt>
                <c:pt idx="13">
                  <c:v>70.0078125</c:v>
                </c:pt>
                <c:pt idx="14">
                  <c:v>70.0625</c:v>
                </c:pt>
                <c:pt idx="19">
                  <c:v>69.9609375</c:v>
                </c:pt>
                <c:pt idx="24">
                  <c:v>70.12109375</c:v>
                </c:pt>
                <c:pt idx="29">
                  <c:v>70.140625</c:v>
                </c:pt>
                <c:pt idx="34">
                  <c:v>70.7421875</c:v>
                </c:pt>
                <c:pt idx="39">
                  <c:v>70.3359375</c:v>
                </c:pt>
                <c:pt idx="44">
                  <c:v>70.93359375</c:v>
                </c:pt>
                <c:pt idx="49">
                  <c:v>71.03515625</c:v>
                </c:pt>
                <c:pt idx="74">
                  <c:v>71.3828125</c:v>
                </c:pt>
                <c:pt idx="99">
                  <c:v>71.890625</c:v>
                </c:pt>
                <c:pt idx="124">
                  <c:v>72.41796875</c:v>
                </c:pt>
                <c:pt idx="149">
                  <c:v>72.8046875</c:v>
                </c:pt>
                <c:pt idx="174">
                  <c:v>72.89453125</c:v>
                </c:pt>
                <c:pt idx="199">
                  <c:v>74.4296875</c:v>
                </c:pt>
                <c:pt idx="224">
                  <c:v>74.5625</c:v>
                </c:pt>
                <c:pt idx="249">
                  <c:v>74.58203125</c:v>
                </c:pt>
                <c:pt idx="274">
                  <c:v>75.921875</c:v>
                </c:pt>
                <c:pt idx="299">
                  <c:v>75.6953125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Results!$P$4</c:f>
              <c:strCache>
                <c:ptCount val="1"/>
                <c:pt idx="0">
                  <c:v>Phaver Memory (MB)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Results!$P$5:$P$304</c:f>
              <c:numCache>
                <c:formatCode>0.00</c:formatCode>
                <c:ptCount val="300"/>
                <c:pt idx="0">
                  <c:v>1.9609375</c:v>
                </c:pt>
                <c:pt idx="1">
                  <c:v>1.9609375</c:v>
                </c:pt>
                <c:pt idx="2">
                  <c:v>5.87109375</c:v>
                </c:pt>
                <c:pt idx="3">
                  <c:v>7.6015625</c:v>
                </c:pt>
                <c:pt idx="4">
                  <c:v>13.125</c:v>
                </c:pt>
                <c:pt idx="5">
                  <c:v>31.09765625</c:v>
                </c:pt>
                <c:pt idx="6">
                  <c:v>117.7734375</c:v>
                </c:pt>
                <c:pt idx="7">
                  <c:v>282.48046875</c:v>
                </c:pt>
                <c:pt idx="8">
                  <c:v>987.15625</c:v>
                </c:pt>
                <c:pt idx="9">
                  <c:v>2790.5078125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043912"/>
        <c:axId val="339045872"/>
      </c:lineChart>
      <c:catAx>
        <c:axId val="339043912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5872"/>
        <c:crosses val="autoZero"/>
        <c:auto val="1"/>
        <c:lblAlgn val="ctr"/>
        <c:lblOffset val="100"/>
        <c:tickLblSkip val="25"/>
        <c:tickMarkSkip val="25"/>
        <c:noMultiLvlLbl val="0"/>
      </c:catAx>
      <c:valAx>
        <c:axId val="33904587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3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Results!$K$4</c:f>
              <c:strCache>
                <c:ptCount val="1"/>
                <c:pt idx="0">
                  <c:v>Passel Time (s)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0"/>
          </c:trendline>
          <c:val>
            <c:numRef>
              <c:f>Results!$K$5:$K$34</c:f>
              <c:numCache>
                <c:formatCode>0.00</c:formatCode>
                <c:ptCount val="30"/>
                <c:pt idx="0">
                  <c:v>1.1100000000000001</c:v>
                </c:pt>
                <c:pt idx="1">
                  <c:v>1.1100000000000001</c:v>
                </c:pt>
                <c:pt idx="2">
                  <c:v>1.62</c:v>
                </c:pt>
                <c:pt idx="3">
                  <c:v>2.02</c:v>
                </c:pt>
                <c:pt idx="4">
                  <c:v>2.3199999999999998</c:v>
                </c:pt>
                <c:pt idx="5">
                  <c:v>2.5299999999999998</c:v>
                </c:pt>
                <c:pt idx="6">
                  <c:v>2.72</c:v>
                </c:pt>
                <c:pt idx="7">
                  <c:v>2.93</c:v>
                </c:pt>
                <c:pt idx="8">
                  <c:v>3.22</c:v>
                </c:pt>
                <c:pt idx="9">
                  <c:v>3.43</c:v>
                </c:pt>
                <c:pt idx="10">
                  <c:v>3.63</c:v>
                </c:pt>
                <c:pt idx="11">
                  <c:v>3.82</c:v>
                </c:pt>
                <c:pt idx="12">
                  <c:v>4.24</c:v>
                </c:pt>
                <c:pt idx="13">
                  <c:v>4.54</c:v>
                </c:pt>
                <c:pt idx="14">
                  <c:v>4.45</c:v>
                </c:pt>
                <c:pt idx="19">
                  <c:v>5.76</c:v>
                </c:pt>
                <c:pt idx="24">
                  <c:v>7.07</c:v>
                </c:pt>
                <c:pt idx="29">
                  <c:v>7.97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Results!$O$4</c:f>
              <c:strCache>
                <c:ptCount val="1"/>
                <c:pt idx="0">
                  <c:v>Phaver Time (s)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Results!$O$5:$O$34</c:f>
              <c:numCache>
                <c:formatCode>0.00</c:formatCode>
                <c:ptCount val="30"/>
                <c:pt idx="0">
                  <c:v>0.1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0.81</c:v>
                </c:pt>
                <c:pt idx="5">
                  <c:v>2.73</c:v>
                </c:pt>
                <c:pt idx="6">
                  <c:v>10.79</c:v>
                </c:pt>
                <c:pt idx="7">
                  <c:v>49.3</c:v>
                </c:pt>
                <c:pt idx="8">
                  <c:v>306.77999999999997</c:v>
                </c:pt>
                <c:pt idx="9">
                  <c:v>2711.79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046264"/>
        <c:axId val="339045088"/>
      </c:lineChart>
      <c:catAx>
        <c:axId val="3390462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508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39045088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46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Results!$L$4</c:f>
              <c:strCache>
                <c:ptCount val="1"/>
                <c:pt idx="0">
                  <c:v>Passel Memory (MB)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val>
            <c:numRef>
              <c:f>Results!$L$5:$L$34</c:f>
              <c:numCache>
                <c:formatCode>0.00</c:formatCode>
                <c:ptCount val="30"/>
                <c:pt idx="0">
                  <c:v>68.0390625</c:v>
                </c:pt>
                <c:pt idx="1">
                  <c:v>68.1484375</c:v>
                </c:pt>
                <c:pt idx="2">
                  <c:v>69.90625</c:v>
                </c:pt>
                <c:pt idx="3">
                  <c:v>69.9140625</c:v>
                </c:pt>
                <c:pt idx="4">
                  <c:v>69.96875</c:v>
                </c:pt>
                <c:pt idx="5">
                  <c:v>70.15625</c:v>
                </c:pt>
                <c:pt idx="6">
                  <c:v>69.99609375</c:v>
                </c:pt>
                <c:pt idx="7">
                  <c:v>70.08203125</c:v>
                </c:pt>
                <c:pt idx="8">
                  <c:v>70.0625</c:v>
                </c:pt>
                <c:pt idx="9">
                  <c:v>69.99609375</c:v>
                </c:pt>
                <c:pt idx="10">
                  <c:v>70.08203125</c:v>
                </c:pt>
                <c:pt idx="11">
                  <c:v>70.09375</c:v>
                </c:pt>
                <c:pt idx="12">
                  <c:v>70.140625</c:v>
                </c:pt>
                <c:pt idx="13">
                  <c:v>70.0078125</c:v>
                </c:pt>
                <c:pt idx="14">
                  <c:v>70.0625</c:v>
                </c:pt>
                <c:pt idx="19">
                  <c:v>69.9609375</c:v>
                </c:pt>
                <c:pt idx="24">
                  <c:v>70.12109375</c:v>
                </c:pt>
                <c:pt idx="29">
                  <c:v>70.140625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Results!$P$4</c:f>
              <c:strCache>
                <c:ptCount val="1"/>
                <c:pt idx="0">
                  <c:v>Phaver Memory (MB)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Results!$P$5:$P$34</c:f>
              <c:numCache>
                <c:formatCode>0.00</c:formatCode>
                <c:ptCount val="30"/>
                <c:pt idx="0">
                  <c:v>1.9609375</c:v>
                </c:pt>
                <c:pt idx="1">
                  <c:v>1.9609375</c:v>
                </c:pt>
                <c:pt idx="2">
                  <c:v>5.87109375</c:v>
                </c:pt>
                <c:pt idx="3">
                  <c:v>7.6015625</c:v>
                </c:pt>
                <c:pt idx="4">
                  <c:v>13.125</c:v>
                </c:pt>
                <c:pt idx="5">
                  <c:v>31.09765625</c:v>
                </c:pt>
                <c:pt idx="6">
                  <c:v>117.7734375</c:v>
                </c:pt>
                <c:pt idx="7">
                  <c:v>282.48046875</c:v>
                </c:pt>
                <c:pt idx="8">
                  <c:v>987.15625</c:v>
                </c:pt>
                <c:pt idx="9">
                  <c:v>2790.5078125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424952"/>
        <c:axId val="338426128"/>
      </c:lineChart>
      <c:catAx>
        <c:axId val="338424952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42612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38426128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424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Summary!$B$3</c:f>
              <c:strCache>
                <c:ptCount val="1"/>
                <c:pt idx="0">
                  <c:v>NFA Passel</c:v>
                </c:pt>
              </c:strCache>
            </c:strRef>
          </c:tx>
          <c:spPr>
            <a:ln w="254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Summary!$D$4:$D$33</c:f>
              <c:numCache>
                <c:formatCode>0.00</c:formatCode>
                <c:ptCount val="30"/>
                <c:pt idx="0">
                  <c:v>68.9453125</c:v>
                </c:pt>
                <c:pt idx="1">
                  <c:v>71.671875</c:v>
                </c:pt>
                <c:pt idx="2">
                  <c:v>72.78515625</c:v>
                </c:pt>
                <c:pt idx="3">
                  <c:v>73.59765625</c:v>
                </c:pt>
                <c:pt idx="4">
                  <c:v>74.234375</c:v>
                </c:pt>
                <c:pt idx="5">
                  <c:v>74.96875</c:v>
                </c:pt>
                <c:pt idx="6">
                  <c:v>75.84375</c:v>
                </c:pt>
                <c:pt idx="7">
                  <c:v>77.16015625</c:v>
                </c:pt>
                <c:pt idx="8">
                  <c:v>78.16015625</c:v>
                </c:pt>
                <c:pt idx="9">
                  <c:v>80.75</c:v>
                </c:pt>
                <c:pt idx="10">
                  <c:v>82.80859375</c:v>
                </c:pt>
                <c:pt idx="11">
                  <c:v>86.1171875</c:v>
                </c:pt>
                <c:pt idx="12">
                  <c:v>88.57421875</c:v>
                </c:pt>
                <c:pt idx="13">
                  <c:v>92.8203125</c:v>
                </c:pt>
                <c:pt idx="14">
                  <c:v>96.29296875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127.02734375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171.66015625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223.05078125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Summary!$C$3</c:f>
              <c:strCache>
                <c:ptCount val="1"/>
                <c:pt idx="0">
                  <c:v>NFA Phaver</c:v>
                </c:pt>
              </c:strCache>
            </c:strRef>
          </c:tx>
          <c:spPr>
            <a:ln w="254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Summary!$A$3:$A$33</c:f>
              <c:strCache>
                <c:ptCount val="31"/>
                <c:pt idx="0">
                  <c:v>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strCache>
            </c:strRef>
          </c:xVal>
          <c:yVal>
            <c:numRef>
              <c:f>Summary!$E$3:$E$33</c:f>
              <c:numCache>
                <c:formatCode>0.00</c:formatCode>
                <c:ptCount val="31"/>
                <c:pt idx="0">
                  <c:v>0</c:v>
                </c:pt>
                <c:pt idx="1">
                  <c:v>1.9609375</c:v>
                </c:pt>
                <c:pt idx="2">
                  <c:v>5.8515625</c:v>
                </c:pt>
                <c:pt idx="3">
                  <c:v>9.59765625</c:v>
                </c:pt>
                <c:pt idx="4">
                  <c:v>28.80078125</c:v>
                </c:pt>
                <c:pt idx="5">
                  <c:v>112.21484375</c:v>
                </c:pt>
                <c:pt idx="6">
                  <c:v>613.515625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Summary!$F$3</c:f>
              <c:strCache>
                <c:ptCount val="1"/>
                <c:pt idx="0">
                  <c:v>MUX-SEM Passel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xVal>
            <c:strRef>
              <c:f>Summary!$A$3:$A$33</c:f>
              <c:strCache>
                <c:ptCount val="31"/>
                <c:pt idx="0">
                  <c:v>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strCache>
            </c:strRef>
          </c:xVal>
          <c:yVal>
            <c:numRef>
              <c:f>Summary!$H$4:$H$33</c:f>
              <c:numCache>
                <c:formatCode>0.00</c:formatCode>
                <c:ptCount val="30"/>
                <c:pt idx="0">
                  <c:v>68.0390625</c:v>
                </c:pt>
                <c:pt idx="1">
                  <c:v>68.1484375</c:v>
                </c:pt>
                <c:pt idx="2">
                  <c:v>69.90625</c:v>
                </c:pt>
                <c:pt idx="3">
                  <c:v>69.9140625</c:v>
                </c:pt>
                <c:pt idx="4">
                  <c:v>69.96875</c:v>
                </c:pt>
                <c:pt idx="5">
                  <c:v>70.15625</c:v>
                </c:pt>
                <c:pt idx="6">
                  <c:v>69.99609375</c:v>
                </c:pt>
                <c:pt idx="7">
                  <c:v>70.08203125</c:v>
                </c:pt>
                <c:pt idx="8">
                  <c:v>70.0625</c:v>
                </c:pt>
                <c:pt idx="9">
                  <c:v>69.99609375</c:v>
                </c:pt>
                <c:pt idx="10">
                  <c:v>70.08203125</c:v>
                </c:pt>
                <c:pt idx="11">
                  <c:v>70.09375</c:v>
                </c:pt>
                <c:pt idx="12">
                  <c:v>70.140625</c:v>
                </c:pt>
                <c:pt idx="13">
                  <c:v>70.0078125</c:v>
                </c:pt>
                <c:pt idx="14">
                  <c:v>70.0625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69.9609375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70.12109375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70.140625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Summary!$G$3</c:f>
              <c:strCache>
                <c:ptCount val="1"/>
                <c:pt idx="0">
                  <c:v>MUX-SEM Phaver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Summary!$I$3:$I$33</c:f>
              <c:numCache>
                <c:formatCode>0.00</c:formatCode>
                <c:ptCount val="31"/>
                <c:pt idx="0">
                  <c:v>0</c:v>
                </c:pt>
                <c:pt idx="1">
                  <c:v>1.9609375</c:v>
                </c:pt>
                <c:pt idx="2">
                  <c:v>1.9609375</c:v>
                </c:pt>
                <c:pt idx="3">
                  <c:v>5.87109375</c:v>
                </c:pt>
                <c:pt idx="4">
                  <c:v>7.6015625</c:v>
                </c:pt>
                <c:pt idx="5">
                  <c:v>13.125</c:v>
                </c:pt>
                <c:pt idx="6">
                  <c:v>31.09765625</c:v>
                </c:pt>
                <c:pt idx="7">
                  <c:v>117.7734375</c:v>
                </c:pt>
                <c:pt idx="8">
                  <c:v>282.48046875</c:v>
                </c:pt>
                <c:pt idx="9">
                  <c:v>987.15625</c:v>
                </c:pt>
                <c:pt idx="10">
                  <c:v>2790.5078125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Summary!$J$3</c:f>
              <c:strCache>
                <c:ptCount val="1"/>
                <c:pt idx="0">
                  <c:v>MUX-INDEX-RA Passel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Summary!$L$4:$L$33</c:f>
              <c:numCache>
                <c:formatCode>0.00</c:formatCode>
                <c:ptCount val="30"/>
                <c:pt idx="0">
                  <c:v>68.41796875</c:v>
                </c:pt>
                <c:pt idx="1">
                  <c:v>73.4375</c:v>
                </c:pt>
                <c:pt idx="2">
                  <c:v>74.453125</c:v>
                </c:pt>
                <c:pt idx="3">
                  <c:v>74.1484375</c:v>
                </c:pt>
                <c:pt idx="4">
                  <c:v>74.1875</c:v>
                </c:pt>
                <c:pt idx="5">
                  <c:v>74.1875</c:v>
                </c:pt>
                <c:pt idx="6">
                  <c:v>74.19140625</c:v>
                </c:pt>
                <c:pt idx="7">
                  <c:v>74.18359375</c:v>
                </c:pt>
                <c:pt idx="8">
                  <c:v>74.375</c:v>
                </c:pt>
                <c:pt idx="9">
                  <c:v>74.18359375</c:v>
                </c:pt>
                <c:pt idx="10">
                  <c:v>74.19140625</c:v>
                </c:pt>
                <c:pt idx="11">
                  <c:v>74.1875</c:v>
                </c:pt>
                <c:pt idx="12">
                  <c:v>74.18359375</c:v>
                </c:pt>
                <c:pt idx="13">
                  <c:v>74.1875</c:v>
                </c:pt>
                <c:pt idx="14">
                  <c:v>74.4296875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74.42578125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74.1875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74.19140625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Summary!$K$3</c:f>
              <c:strCache>
                <c:ptCount val="1"/>
                <c:pt idx="0">
                  <c:v>MUX-INDEX-RA Phaver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Summary!$M$4:$M$33</c:f>
              <c:numCache>
                <c:formatCode>0.00</c:formatCode>
                <c:ptCount val="30"/>
                <c:pt idx="0">
                  <c:v>1.95703125</c:v>
                </c:pt>
                <c:pt idx="1">
                  <c:v>1.95703125</c:v>
                </c:pt>
                <c:pt idx="2">
                  <c:v>6.59765625</c:v>
                </c:pt>
                <c:pt idx="3">
                  <c:v>11.640625</c:v>
                </c:pt>
                <c:pt idx="4">
                  <c:v>37.109375</c:v>
                </c:pt>
                <c:pt idx="5">
                  <c:v>190.79296875</c:v>
                </c:pt>
                <c:pt idx="6">
                  <c:v>1307.27734375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Summary!$N$3</c:f>
              <c:strCache>
                <c:ptCount val="1"/>
                <c:pt idx="0">
                  <c:v>SSATS Passel</c:v>
                </c:pt>
              </c:strCache>
            </c:strRef>
          </c:tx>
          <c:spPr>
            <a:ln w="254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triang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Summary!$P$4:$P$33</c:f>
              <c:numCache>
                <c:formatCode>0.00</c:formatCode>
                <c:ptCount val="30"/>
                <c:pt idx="0">
                  <c:v>71.109375</c:v>
                </c:pt>
                <c:pt idx="1">
                  <c:v>73.94921875</c:v>
                </c:pt>
                <c:pt idx="2">
                  <c:v>79.25390625</c:v>
                </c:pt>
                <c:pt idx="3">
                  <c:v>79.984375</c:v>
                </c:pt>
                <c:pt idx="4">
                  <c:v>80.79296875</c:v>
                </c:pt>
                <c:pt idx="5">
                  <c:v>82.546875</c:v>
                </c:pt>
                <c:pt idx="6">
                  <c:v>84.2890625</c:v>
                </c:pt>
                <c:pt idx="7">
                  <c:v>84.2890625</c:v>
                </c:pt>
                <c:pt idx="8">
                  <c:v>89.90234375</c:v>
                </c:pt>
                <c:pt idx="9">
                  <c:v>90.87109375</c:v>
                </c:pt>
                <c:pt idx="10">
                  <c:v>95.0625</c:v>
                </c:pt>
                <c:pt idx="11">
                  <c:v>101.24609375</c:v>
                </c:pt>
                <c:pt idx="12">
                  <c:v>103.37109375</c:v>
                </c:pt>
                <c:pt idx="13">
                  <c:v>111.84375</c:v>
                </c:pt>
                <c:pt idx="14">
                  <c:v>117.77734375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163.08984375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Summary!$O$3</c:f>
              <c:strCache>
                <c:ptCount val="1"/>
                <c:pt idx="0">
                  <c:v>SSATS Phaver</c:v>
                </c:pt>
              </c:strCache>
            </c:strRef>
          </c:tx>
          <c:spPr>
            <a:ln w="254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Summary!$Q$4:$Q$33</c:f>
              <c:numCache>
                <c:formatCode>0.00</c:formatCode>
                <c:ptCount val="30"/>
                <c:pt idx="0">
                  <c:v>1.95703125</c:v>
                </c:pt>
                <c:pt idx="1">
                  <c:v>1.95703125</c:v>
                </c:pt>
                <c:pt idx="2">
                  <c:v>7.7578125</c:v>
                </c:pt>
                <c:pt idx="3">
                  <c:v>25.46875</c:v>
                </c:pt>
                <c:pt idx="4">
                  <c:v>183.96875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Summary!$R$3</c:f>
              <c:strCache>
                <c:ptCount val="1"/>
                <c:pt idx="0">
                  <c:v>MUX-SEM-RA Passel</c:v>
                </c:pt>
              </c:strCache>
            </c:strRef>
          </c:tx>
          <c:spPr>
            <a:ln w="254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triang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Summary!$T$4:$T$33</c:f>
              <c:numCache>
                <c:formatCode>0.00</c:formatCode>
                <c:ptCount val="30"/>
                <c:pt idx="0">
                  <c:v>67.70703125</c:v>
                </c:pt>
                <c:pt idx="1">
                  <c:v>73.7890625</c:v>
                </c:pt>
                <c:pt idx="2">
                  <c:v>76.1328125</c:v>
                </c:pt>
                <c:pt idx="3">
                  <c:v>77.65625</c:v>
                </c:pt>
                <c:pt idx="4">
                  <c:v>78.1328125</c:v>
                </c:pt>
                <c:pt idx="5">
                  <c:v>78.33984375</c:v>
                </c:pt>
                <c:pt idx="6">
                  <c:v>78.41796875</c:v>
                </c:pt>
                <c:pt idx="7">
                  <c:v>78.45703125</c:v>
                </c:pt>
                <c:pt idx="8">
                  <c:v>79.05078125</c:v>
                </c:pt>
                <c:pt idx="9">
                  <c:v>78.953125</c:v>
                </c:pt>
                <c:pt idx="10">
                  <c:v>79.484375</c:v>
                </c:pt>
                <c:pt idx="11">
                  <c:v>79.65625</c:v>
                </c:pt>
                <c:pt idx="12">
                  <c:v>79.6640625</c:v>
                </c:pt>
                <c:pt idx="13">
                  <c:v>79.31640625</c:v>
                </c:pt>
                <c:pt idx="14">
                  <c:v>79.82421875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80.24609375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80.74609375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80.8828125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Summary!$U$3</c:f>
              <c:strCache>
                <c:ptCount val="1"/>
                <c:pt idx="0">
                  <c:v>MUX-SEM-RA Phaver</c:v>
                </c:pt>
              </c:strCache>
            </c:strRef>
          </c:tx>
          <c:spPr>
            <a:ln w="254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Summary!$U$4:$U$33</c:f>
              <c:numCache>
                <c:formatCode>0.00</c:formatCode>
                <c:ptCount val="30"/>
                <c:pt idx="0">
                  <c:v>1.95703125</c:v>
                </c:pt>
                <c:pt idx="1">
                  <c:v>5.47265625</c:v>
                </c:pt>
                <c:pt idx="2">
                  <c:v>5.71875</c:v>
                </c:pt>
                <c:pt idx="3">
                  <c:v>6.73828125</c:v>
                </c:pt>
                <c:pt idx="4">
                  <c:v>10.9765625</c:v>
                </c:pt>
                <c:pt idx="5">
                  <c:v>20.48046875</c:v>
                </c:pt>
                <c:pt idx="6">
                  <c:v>59.0625</c:v>
                </c:pt>
                <c:pt idx="7">
                  <c:v>187.75</c:v>
                </c:pt>
                <c:pt idx="8">
                  <c:v>589.453125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547104"/>
        <c:axId val="338548672"/>
      </c:scatterChart>
      <c:valAx>
        <c:axId val="338547104"/>
        <c:scaling>
          <c:orientation val="minMax"/>
          <c:max val="31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8672"/>
        <c:crossesAt val="1.0000000000000002E-2"/>
        <c:crossBetween val="midCat"/>
      </c:valAx>
      <c:valAx>
        <c:axId val="33854867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Memory (MB)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7104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Summary!$C$3</c:f>
              <c:strCache>
                <c:ptCount val="1"/>
                <c:pt idx="0">
                  <c:v>NFA Phaver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Summary!$A$3:$A$33</c:f>
              <c:strCache>
                <c:ptCount val="31"/>
                <c:pt idx="0">
                  <c:v>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strCache>
            </c:strRef>
          </c:xVal>
          <c:yVal>
            <c:numRef>
              <c:f>Summary!$C$3:$C$33</c:f>
              <c:numCache>
                <c:formatCode>0.00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0.21</c:v>
                </c:pt>
                <c:pt idx="3">
                  <c:v>0.91</c:v>
                </c:pt>
                <c:pt idx="4">
                  <c:v>4.54</c:v>
                </c:pt>
                <c:pt idx="5">
                  <c:v>28.06</c:v>
                </c:pt>
                <c:pt idx="6">
                  <c:v>202.4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Summary!$G$3</c:f>
              <c:strCache>
                <c:ptCount val="1"/>
                <c:pt idx="0">
                  <c:v>MUX-SEM Phaver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Summary!$G$3:$G$33</c:f>
              <c:numCache>
                <c:formatCode>0.00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0.81</c:v>
                </c:pt>
                <c:pt idx="6">
                  <c:v>2.73</c:v>
                </c:pt>
                <c:pt idx="7">
                  <c:v>10.79</c:v>
                </c:pt>
                <c:pt idx="8">
                  <c:v>49.3</c:v>
                </c:pt>
                <c:pt idx="9">
                  <c:v>306.77999999999997</c:v>
                </c:pt>
                <c:pt idx="10">
                  <c:v>2711.79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5"/>
          <c:order val="2"/>
          <c:tx>
            <c:strRef>
              <c:f>Summary!$K$3</c:f>
              <c:strCache>
                <c:ptCount val="1"/>
                <c:pt idx="0">
                  <c:v>MUX-INDEX-RA Phaver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Summary!$K$4:$K$33</c:f>
              <c:numCache>
                <c:formatCode>0.00</c:formatCode>
                <c:ptCount val="30"/>
                <c:pt idx="0">
                  <c:v>0.1</c:v>
                </c:pt>
                <c:pt idx="1">
                  <c:v>0.1</c:v>
                </c:pt>
                <c:pt idx="2">
                  <c:v>0.4</c:v>
                </c:pt>
                <c:pt idx="3">
                  <c:v>1.52</c:v>
                </c:pt>
                <c:pt idx="4">
                  <c:v>11.62</c:v>
                </c:pt>
                <c:pt idx="5">
                  <c:v>252.51</c:v>
                </c:pt>
                <c:pt idx="6">
                  <c:v>11853.35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7"/>
          <c:order val="3"/>
          <c:tx>
            <c:strRef>
              <c:f>Summary!$O$3</c:f>
              <c:strCache>
                <c:ptCount val="1"/>
                <c:pt idx="0">
                  <c:v>SSATS Phaver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Summary!$O$4:$O$33</c:f>
              <c:numCache>
                <c:formatCode>0.00</c:formatCode>
                <c:ptCount val="30"/>
                <c:pt idx="0">
                  <c:v>0.1</c:v>
                </c:pt>
                <c:pt idx="1">
                  <c:v>0.1</c:v>
                </c:pt>
                <c:pt idx="2">
                  <c:v>0.71</c:v>
                </c:pt>
                <c:pt idx="3">
                  <c:v>8.89</c:v>
                </c:pt>
                <c:pt idx="4">
                  <c:v>190.7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9"/>
          <c:order val="4"/>
          <c:tx>
            <c:strRef>
              <c:f>Summary!$S$3</c:f>
              <c:strCache>
                <c:ptCount val="1"/>
                <c:pt idx="0">
                  <c:v>MUX-SEM-RA Phaver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Summary!$S$4:$S$33</c:f>
              <c:numCache>
                <c:formatCode>0.00</c:formatCode>
                <c:ptCount val="3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0.51</c:v>
                </c:pt>
                <c:pt idx="4">
                  <c:v>1.93</c:v>
                </c:pt>
                <c:pt idx="5">
                  <c:v>5.05</c:v>
                </c:pt>
                <c:pt idx="6">
                  <c:v>19.82</c:v>
                </c:pt>
                <c:pt idx="7">
                  <c:v>92.31</c:v>
                </c:pt>
                <c:pt idx="8">
                  <c:v>472.97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093184"/>
        <c:axId val="311093576"/>
      </c:scatterChart>
      <c:valAx>
        <c:axId val="311093184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093576"/>
        <c:crossesAt val="1.0000000000000002E-2"/>
        <c:crossBetween val="midCat"/>
      </c:valAx>
      <c:valAx>
        <c:axId val="31109357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Runtime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093184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Summary!$C$3</c:f>
              <c:strCache>
                <c:ptCount val="1"/>
                <c:pt idx="0">
                  <c:v>NFA Phaver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Summary!$A$3:$A$33</c:f>
              <c:strCache>
                <c:ptCount val="31"/>
                <c:pt idx="0">
                  <c:v>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strCache>
            </c:strRef>
          </c:xVal>
          <c:yVal>
            <c:numRef>
              <c:f>Summary!$E$3:$E$33</c:f>
              <c:numCache>
                <c:formatCode>0.00</c:formatCode>
                <c:ptCount val="31"/>
                <c:pt idx="0">
                  <c:v>0</c:v>
                </c:pt>
                <c:pt idx="1">
                  <c:v>1.9609375</c:v>
                </c:pt>
                <c:pt idx="2">
                  <c:v>5.8515625</c:v>
                </c:pt>
                <c:pt idx="3">
                  <c:v>9.59765625</c:v>
                </c:pt>
                <c:pt idx="4">
                  <c:v>28.80078125</c:v>
                </c:pt>
                <c:pt idx="5">
                  <c:v>112.21484375</c:v>
                </c:pt>
                <c:pt idx="6">
                  <c:v>613.515625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Summary!$G$3</c:f>
              <c:strCache>
                <c:ptCount val="1"/>
                <c:pt idx="0">
                  <c:v>MUX-SEM Phaver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Summary!$I$3:$I$33</c:f>
              <c:numCache>
                <c:formatCode>0.00</c:formatCode>
                <c:ptCount val="31"/>
                <c:pt idx="0">
                  <c:v>0</c:v>
                </c:pt>
                <c:pt idx="1">
                  <c:v>1.9609375</c:v>
                </c:pt>
                <c:pt idx="2">
                  <c:v>1.9609375</c:v>
                </c:pt>
                <c:pt idx="3">
                  <c:v>5.87109375</c:v>
                </c:pt>
                <c:pt idx="4">
                  <c:v>7.6015625</c:v>
                </c:pt>
                <c:pt idx="5">
                  <c:v>13.125</c:v>
                </c:pt>
                <c:pt idx="6">
                  <c:v>31.09765625</c:v>
                </c:pt>
                <c:pt idx="7">
                  <c:v>117.7734375</c:v>
                </c:pt>
                <c:pt idx="8">
                  <c:v>282.48046875</c:v>
                </c:pt>
                <c:pt idx="9">
                  <c:v>987.15625</c:v>
                </c:pt>
                <c:pt idx="10">
                  <c:v>2790.5078125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5"/>
          <c:order val="2"/>
          <c:tx>
            <c:strRef>
              <c:f>Summary!$K$3</c:f>
              <c:strCache>
                <c:ptCount val="1"/>
                <c:pt idx="0">
                  <c:v>MUX-INDEX-RA Phaver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Summary!$M$4:$M$33</c:f>
              <c:numCache>
                <c:formatCode>0.00</c:formatCode>
                <c:ptCount val="30"/>
                <c:pt idx="0">
                  <c:v>1.95703125</c:v>
                </c:pt>
                <c:pt idx="1">
                  <c:v>1.95703125</c:v>
                </c:pt>
                <c:pt idx="2">
                  <c:v>6.59765625</c:v>
                </c:pt>
                <c:pt idx="3">
                  <c:v>11.640625</c:v>
                </c:pt>
                <c:pt idx="4">
                  <c:v>37.109375</c:v>
                </c:pt>
                <c:pt idx="5">
                  <c:v>190.79296875</c:v>
                </c:pt>
                <c:pt idx="6">
                  <c:v>1307.27734375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7"/>
          <c:order val="3"/>
          <c:tx>
            <c:strRef>
              <c:f>Summary!$O$3</c:f>
              <c:strCache>
                <c:ptCount val="1"/>
                <c:pt idx="0">
                  <c:v>SSATS Phaver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Summary!$Q$4:$Q$33</c:f>
              <c:numCache>
                <c:formatCode>0.00</c:formatCode>
                <c:ptCount val="30"/>
                <c:pt idx="0">
                  <c:v>1.95703125</c:v>
                </c:pt>
                <c:pt idx="1">
                  <c:v>1.95703125</c:v>
                </c:pt>
                <c:pt idx="2">
                  <c:v>7.7578125</c:v>
                </c:pt>
                <c:pt idx="3">
                  <c:v>25.46875</c:v>
                </c:pt>
                <c:pt idx="4">
                  <c:v>183.96875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ser>
          <c:idx val="9"/>
          <c:order val="4"/>
          <c:tx>
            <c:strRef>
              <c:f>Summary!$U$3</c:f>
              <c:strCache>
                <c:ptCount val="1"/>
                <c:pt idx="0">
                  <c:v>MUX-SEM-RA Phaver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Summary!$A$4:$A$33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Summary!$U$4:$U$33</c:f>
              <c:numCache>
                <c:formatCode>0.00</c:formatCode>
                <c:ptCount val="30"/>
                <c:pt idx="0">
                  <c:v>1.95703125</c:v>
                </c:pt>
                <c:pt idx="1">
                  <c:v>5.47265625</c:v>
                </c:pt>
                <c:pt idx="2">
                  <c:v>5.71875</c:v>
                </c:pt>
                <c:pt idx="3">
                  <c:v>6.73828125</c:v>
                </c:pt>
                <c:pt idx="4">
                  <c:v>10.9765625</c:v>
                </c:pt>
                <c:pt idx="5">
                  <c:v>20.48046875</c:v>
                </c:pt>
                <c:pt idx="6">
                  <c:v>59.0625</c:v>
                </c:pt>
                <c:pt idx="7">
                  <c:v>187.75</c:v>
                </c:pt>
                <c:pt idx="8">
                  <c:v>589.453125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093968"/>
        <c:axId val="311094360"/>
      </c:scatterChart>
      <c:valAx>
        <c:axId val="311093968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094360"/>
        <c:crossesAt val="1.0000000000000002E-2"/>
        <c:crossBetween val="midCat"/>
      </c:valAx>
      <c:valAx>
        <c:axId val="311094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Memory (MB)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093968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Results!$S$4</c:f>
              <c:strCache>
                <c:ptCount val="1"/>
                <c:pt idx="0">
                  <c:v>Passel Time (s)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val>
            <c:numRef>
              <c:f>Results!$S$5:$S$34</c:f>
              <c:numCache>
                <c:formatCode>0.00</c:formatCode>
                <c:ptCount val="30"/>
                <c:pt idx="0">
                  <c:v>1.21</c:v>
                </c:pt>
                <c:pt idx="1">
                  <c:v>3.03</c:v>
                </c:pt>
                <c:pt idx="2">
                  <c:v>3.03</c:v>
                </c:pt>
                <c:pt idx="3">
                  <c:v>3.03</c:v>
                </c:pt>
                <c:pt idx="4">
                  <c:v>3.03</c:v>
                </c:pt>
                <c:pt idx="5">
                  <c:v>3.03</c:v>
                </c:pt>
                <c:pt idx="6">
                  <c:v>3.03</c:v>
                </c:pt>
                <c:pt idx="7">
                  <c:v>3.03</c:v>
                </c:pt>
                <c:pt idx="8">
                  <c:v>3.03</c:v>
                </c:pt>
                <c:pt idx="9">
                  <c:v>3.03</c:v>
                </c:pt>
                <c:pt idx="10">
                  <c:v>3.13</c:v>
                </c:pt>
                <c:pt idx="11">
                  <c:v>3.03</c:v>
                </c:pt>
                <c:pt idx="12">
                  <c:v>3.03</c:v>
                </c:pt>
                <c:pt idx="13">
                  <c:v>3.13</c:v>
                </c:pt>
                <c:pt idx="14">
                  <c:v>2.93</c:v>
                </c:pt>
                <c:pt idx="19">
                  <c:v>3.33</c:v>
                </c:pt>
                <c:pt idx="24">
                  <c:v>3.04</c:v>
                </c:pt>
                <c:pt idx="29">
                  <c:v>2.93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Results!$W$4</c:f>
              <c:strCache>
                <c:ptCount val="1"/>
                <c:pt idx="0">
                  <c:v>Phaver Time (s)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Results!$W$5:$W$34</c:f>
              <c:numCache>
                <c:formatCode>0.00</c:formatCode>
                <c:ptCount val="30"/>
                <c:pt idx="0">
                  <c:v>0.1</c:v>
                </c:pt>
                <c:pt idx="1">
                  <c:v>0.1</c:v>
                </c:pt>
                <c:pt idx="2">
                  <c:v>0.4</c:v>
                </c:pt>
                <c:pt idx="3">
                  <c:v>1.52</c:v>
                </c:pt>
                <c:pt idx="4">
                  <c:v>11.62</c:v>
                </c:pt>
                <c:pt idx="5">
                  <c:v>252.51</c:v>
                </c:pt>
                <c:pt idx="6">
                  <c:v>11853.35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Results!$AB$4</c:f>
              <c:strCache>
                <c:ptCount val="1"/>
                <c:pt idx="0">
                  <c:v>Passel Time (s)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Results!$AB$5:$AB$34</c:f>
              <c:numCache>
                <c:formatCode>0.00</c:formatCode>
                <c:ptCount val="30"/>
                <c:pt idx="0">
                  <c:v>1.72</c:v>
                </c:pt>
                <c:pt idx="1">
                  <c:v>5.83</c:v>
                </c:pt>
                <c:pt idx="2">
                  <c:v>10.01</c:v>
                </c:pt>
                <c:pt idx="3">
                  <c:v>16.850000000000001</c:v>
                </c:pt>
                <c:pt idx="4">
                  <c:v>35.97</c:v>
                </c:pt>
                <c:pt idx="5">
                  <c:v>60.62</c:v>
                </c:pt>
                <c:pt idx="6">
                  <c:v>98.3</c:v>
                </c:pt>
                <c:pt idx="7">
                  <c:v>146.51</c:v>
                </c:pt>
                <c:pt idx="8">
                  <c:v>212.3</c:v>
                </c:pt>
                <c:pt idx="9">
                  <c:v>323.74</c:v>
                </c:pt>
                <c:pt idx="10">
                  <c:v>472.85</c:v>
                </c:pt>
                <c:pt idx="11">
                  <c:v>636.91</c:v>
                </c:pt>
                <c:pt idx="12">
                  <c:v>1028.67</c:v>
                </c:pt>
                <c:pt idx="13">
                  <c:v>1340.53</c:v>
                </c:pt>
                <c:pt idx="14">
                  <c:v>1824.8</c:v>
                </c:pt>
                <c:pt idx="19">
                  <c:v>8599.07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Results!$AF$4</c:f>
              <c:strCache>
                <c:ptCount val="1"/>
                <c:pt idx="0">
                  <c:v>Phaver Time (s)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Results!$AF$5:$AF$34</c:f>
              <c:numCache>
                <c:formatCode>0.00</c:formatCode>
                <c:ptCount val="30"/>
                <c:pt idx="0">
                  <c:v>0.1</c:v>
                </c:pt>
                <c:pt idx="1">
                  <c:v>0.1</c:v>
                </c:pt>
                <c:pt idx="2">
                  <c:v>0.71</c:v>
                </c:pt>
                <c:pt idx="3">
                  <c:v>8.89</c:v>
                </c:pt>
                <c:pt idx="4">
                  <c:v>190.7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544752"/>
        <c:axId val="338547888"/>
      </c:lineChart>
      <c:catAx>
        <c:axId val="338544752"/>
        <c:scaling>
          <c:orientation val="minMax"/>
        </c:scaling>
        <c:delete val="0"/>
        <c:axPos val="b"/>
        <c:numFmt formatCode="0.00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788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38547888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Results!$AB$4</c:f>
              <c:strCache>
                <c:ptCount val="1"/>
                <c:pt idx="0">
                  <c:v>Passel Time (s)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val>
            <c:numRef>
              <c:f>Results!$AB$5:$AB$24</c:f>
              <c:numCache>
                <c:formatCode>0.00</c:formatCode>
                <c:ptCount val="20"/>
                <c:pt idx="0">
                  <c:v>1.72</c:v>
                </c:pt>
                <c:pt idx="1">
                  <c:v>5.83</c:v>
                </c:pt>
                <c:pt idx="2">
                  <c:v>10.01</c:v>
                </c:pt>
                <c:pt idx="3">
                  <c:v>16.850000000000001</c:v>
                </c:pt>
                <c:pt idx="4">
                  <c:v>35.97</c:v>
                </c:pt>
                <c:pt idx="5">
                  <c:v>60.62</c:v>
                </c:pt>
                <c:pt idx="6">
                  <c:v>98.3</c:v>
                </c:pt>
                <c:pt idx="7">
                  <c:v>146.51</c:v>
                </c:pt>
                <c:pt idx="8">
                  <c:v>212.3</c:v>
                </c:pt>
                <c:pt idx="9">
                  <c:v>323.74</c:v>
                </c:pt>
                <c:pt idx="10">
                  <c:v>472.85</c:v>
                </c:pt>
                <c:pt idx="11">
                  <c:v>636.91</c:v>
                </c:pt>
                <c:pt idx="12">
                  <c:v>1028.67</c:v>
                </c:pt>
                <c:pt idx="13">
                  <c:v>1340.53</c:v>
                </c:pt>
                <c:pt idx="14">
                  <c:v>1824.8</c:v>
                </c:pt>
                <c:pt idx="19">
                  <c:v>8599.07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Results!$AF$4</c:f>
              <c:strCache>
                <c:ptCount val="1"/>
                <c:pt idx="0">
                  <c:v>Phaver Time (s)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Results!$AF$5:$AF$24</c:f>
              <c:numCache>
                <c:formatCode>0.00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0.71</c:v>
                </c:pt>
                <c:pt idx="3">
                  <c:v>8.89</c:v>
                </c:pt>
                <c:pt idx="4">
                  <c:v>190.7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543968"/>
        <c:axId val="338545144"/>
      </c:lineChart>
      <c:catAx>
        <c:axId val="338543968"/>
        <c:scaling>
          <c:orientation val="minMax"/>
        </c:scaling>
        <c:delete val="0"/>
        <c:axPos val="b"/>
        <c:numFmt formatCode="0.00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51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38545144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3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Results!$AC$4</c:f>
              <c:strCache>
                <c:ptCount val="1"/>
                <c:pt idx="0">
                  <c:v>Passel Memory (MB)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val>
            <c:numRef>
              <c:f>Results!$AC$5:$AC$24</c:f>
              <c:numCache>
                <c:formatCode>0.00</c:formatCode>
                <c:ptCount val="20"/>
                <c:pt idx="0">
                  <c:v>71.109375</c:v>
                </c:pt>
                <c:pt idx="1">
                  <c:v>73.94921875</c:v>
                </c:pt>
                <c:pt idx="2">
                  <c:v>79.25390625</c:v>
                </c:pt>
                <c:pt idx="3">
                  <c:v>79.984375</c:v>
                </c:pt>
                <c:pt idx="4">
                  <c:v>80.79296875</c:v>
                </c:pt>
                <c:pt idx="5">
                  <c:v>82.546875</c:v>
                </c:pt>
                <c:pt idx="6">
                  <c:v>84.2890625</c:v>
                </c:pt>
                <c:pt idx="7">
                  <c:v>84.2890625</c:v>
                </c:pt>
                <c:pt idx="8">
                  <c:v>89.90234375</c:v>
                </c:pt>
                <c:pt idx="9">
                  <c:v>90.87109375</c:v>
                </c:pt>
                <c:pt idx="10">
                  <c:v>95.0625</c:v>
                </c:pt>
                <c:pt idx="11">
                  <c:v>101.24609375</c:v>
                </c:pt>
                <c:pt idx="12">
                  <c:v>103.37109375</c:v>
                </c:pt>
                <c:pt idx="13">
                  <c:v>111.84375</c:v>
                </c:pt>
                <c:pt idx="14">
                  <c:v>117.77734375</c:v>
                </c:pt>
                <c:pt idx="19">
                  <c:v>163.08984375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Results!$AG$4</c:f>
              <c:strCache>
                <c:ptCount val="1"/>
                <c:pt idx="0">
                  <c:v>Phaver Memory (MB)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Results!$AG$5:$AG$24</c:f>
              <c:numCache>
                <c:formatCode>0.00</c:formatCode>
                <c:ptCount val="20"/>
                <c:pt idx="0">
                  <c:v>1.95703125</c:v>
                </c:pt>
                <c:pt idx="1">
                  <c:v>1.95703125</c:v>
                </c:pt>
                <c:pt idx="2">
                  <c:v>7.7578125</c:v>
                </c:pt>
                <c:pt idx="3">
                  <c:v>25.46875</c:v>
                </c:pt>
                <c:pt idx="4">
                  <c:v>183.96875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542008"/>
        <c:axId val="338545928"/>
      </c:lineChart>
      <c:catAx>
        <c:axId val="338542008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592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38545928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2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Results!$S$4</c:f>
              <c:strCache>
                <c:ptCount val="1"/>
                <c:pt idx="0">
                  <c:v>Passel Time (s)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Results!$S$5:$S$34</c:f>
              <c:numCache>
                <c:formatCode>0.00</c:formatCode>
                <c:ptCount val="30"/>
                <c:pt idx="0">
                  <c:v>1.21</c:v>
                </c:pt>
                <c:pt idx="1">
                  <c:v>3.03</c:v>
                </c:pt>
                <c:pt idx="2">
                  <c:v>3.03</c:v>
                </c:pt>
                <c:pt idx="3">
                  <c:v>3.03</c:v>
                </c:pt>
                <c:pt idx="4">
                  <c:v>3.03</c:v>
                </c:pt>
                <c:pt idx="5">
                  <c:v>3.03</c:v>
                </c:pt>
                <c:pt idx="6">
                  <c:v>3.03</c:v>
                </c:pt>
                <c:pt idx="7">
                  <c:v>3.03</c:v>
                </c:pt>
                <c:pt idx="8">
                  <c:v>3.03</c:v>
                </c:pt>
                <c:pt idx="9">
                  <c:v>3.03</c:v>
                </c:pt>
                <c:pt idx="10">
                  <c:v>3.13</c:v>
                </c:pt>
                <c:pt idx="11">
                  <c:v>3.03</c:v>
                </c:pt>
                <c:pt idx="12">
                  <c:v>3.03</c:v>
                </c:pt>
                <c:pt idx="13">
                  <c:v>3.13</c:v>
                </c:pt>
                <c:pt idx="14">
                  <c:v>2.93</c:v>
                </c:pt>
                <c:pt idx="19">
                  <c:v>3.33</c:v>
                </c:pt>
                <c:pt idx="24">
                  <c:v>3.04</c:v>
                </c:pt>
                <c:pt idx="29">
                  <c:v>2.93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Results!$W$4</c:f>
              <c:strCache>
                <c:ptCount val="1"/>
                <c:pt idx="0">
                  <c:v>Phaver Time (s)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Results!$W$5:$W$34</c:f>
              <c:numCache>
                <c:formatCode>0.00</c:formatCode>
                <c:ptCount val="30"/>
                <c:pt idx="0">
                  <c:v>0.1</c:v>
                </c:pt>
                <c:pt idx="1">
                  <c:v>0.1</c:v>
                </c:pt>
                <c:pt idx="2">
                  <c:v>0.4</c:v>
                </c:pt>
                <c:pt idx="3">
                  <c:v>1.52</c:v>
                </c:pt>
                <c:pt idx="4">
                  <c:v>11.62</c:v>
                </c:pt>
                <c:pt idx="5">
                  <c:v>252.51</c:v>
                </c:pt>
                <c:pt idx="6">
                  <c:v>11853.35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546320"/>
        <c:axId val="338546712"/>
      </c:lineChart>
      <c:catAx>
        <c:axId val="338546320"/>
        <c:scaling>
          <c:orientation val="minMax"/>
        </c:scaling>
        <c:delete val="0"/>
        <c:axPos val="b"/>
        <c:numFmt formatCode="0.00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671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38546712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6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Results!$T$4</c:f>
              <c:strCache>
                <c:ptCount val="1"/>
                <c:pt idx="0">
                  <c:v>Passel Memory (MB)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val>
            <c:numRef>
              <c:f>Results!$T$5:$T$34</c:f>
              <c:numCache>
                <c:formatCode>0.00</c:formatCode>
                <c:ptCount val="30"/>
                <c:pt idx="0">
                  <c:v>68.41796875</c:v>
                </c:pt>
                <c:pt idx="1">
                  <c:v>73.4375</c:v>
                </c:pt>
                <c:pt idx="2">
                  <c:v>74.453125</c:v>
                </c:pt>
                <c:pt idx="3">
                  <c:v>74.1484375</c:v>
                </c:pt>
                <c:pt idx="4">
                  <c:v>74.1875</c:v>
                </c:pt>
                <c:pt idx="5">
                  <c:v>74.1875</c:v>
                </c:pt>
                <c:pt idx="6">
                  <c:v>74.19140625</c:v>
                </c:pt>
                <c:pt idx="7">
                  <c:v>74.18359375</c:v>
                </c:pt>
                <c:pt idx="8">
                  <c:v>74.375</c:v>
                </c:pt>
                <c:pt idx="9">
                  <c:v>74.18359375</c:v>
                </c:pt>
                <c:pt idx="10">
                  <c:v>74.19140625</c:v>
                </c:pt>
                <c:pt idx="11">
                  <c:v>74.1875</c:v>
                </c:pt>
                <c:pt idx="12">
                  <c:v>74.18359375</c:v>
                </c:pt>
                <c:pt idx="13">
                  <c:v>74.1875</c:v>
                </c:pt>
                <c:pt idx="14">
                  <c:v>74.4296875</c:v>
                </c:pt>
                <c:pt idx="19">
                  <c:v>74.42578125</c:v>
                </c:pt>
                <c:pt idx="24">
                  <c:v>74.1875</c:v>
                </c:pt>
                <c:pt idx="29">
                  <c:v>74.19140625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Results!$X$4</c:f>
              <c:strCache>
                <c:ptCount val="1"/>
                <c:pt idx="0">
                  <c:v>Phaver Memory (MB)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/>
            </c:spPr>
          </c:marker>
          <c:val>
            <c:numRef>
              <c:f>Results!$X$5:$X$34</c:f>
              <c:numCache>
                <c:formatCode>0.00</c:formatCode>
                <c:ptCount val="30"/>
                <c:pt idx="0">
                  <c:v>1.95703125</c:v>
                </c:pt>
                <c:pt idx="1">
                  <c:v>1.95703125</c:v>
                </c:pt>
                <c:pt idx="2">
                  <c:v>6.59765625</c:v>
                </c:pt>
                <c:pt idx="3">
                  <c:v>11.640625</c:v>
                </c:pt>
                <c:pt idx="4">
                  <c:v>37.109375</c:v>
                </c:pt>
                <c:pt idx="5">
                  <c:v>190.79296875</c:v>
                </c:pt>
                <c:pt idx="6">
                  <c:v>1307.27734375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543184"/>
        <c:axId val="338543576"/>
      </c:lineChart>
      <c:catAx>
        <c:axId val="338543184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357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38543576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4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3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729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70"/>
  <sheetViews>
    <sheetView topLeftCell="A10" workbookViewId="0">
      <pane xSplit="1" topLeftCell="B1" activePane="topRight" state="frozen"/>
      <selection pane="topRight" activeCell="G13" sqref="G13"/>
    </sheetView>
  </sheetViews>
  <sheetFormatPr defaultRowHeight="15" x14ac:dyDescent="0.25"/>
  <cols>
    <col min="2" max="2" width="11.140625" bestFit="1" customWidth="1"/>
    <col min="3" max="3" width="8.140625" style="1" bestFit="1" customWidth="1"/>
    <col min="4" max="4" width="13.28515625" style="1" bestFit="1" customWidth="1"/>
    <col min="5" max="5" width="13.28515625" style="1" customWidth="1"/>
    <col min="6" max="6" width="32.5703125" style="4" customWidth="1"/>
    <col min="7" max="7" width="8.5703125" style="1" customWidth="1"/>
    <col min="8" max="8" width="12.85546875" style="1" customWidth="1"/>
    <col min="9" max="9" width="37.7109375" style="4" customWidth="1"/>
    <col min="12" max="12" width="19.42578125" style="1" bestFit="1" customWidth="1"/>
    <col min="13" max="13" width="11" customWidth="1"/>
    <col min="14" max="14" width="30.5703125" style="4" customWidth="1"/>
    <col min="15" max="15" width="10.28515625" customWidth="1"/>
    <col min="17" max="17" width="34.28515625" style="4" customWidth="1"/>
    <col min="18" max="18" width="11.140625" bestFit="1" customWidth="1"/>
    <col min="19" max="19" width="8.140625" style="1" bestFit="1" customWidth="1"/>
    <col min="20" max="20" width="13.5703125" style="1" bestFit="1" customWidth="1"/>
    <col min="21" max="21" width="13.85546875" bestFit="1" customWidth="1"/>
    <col min="22" max="22" width="30.85546875" style="4" customWidth="1"/>
    <col min="23" max="23" width="9.140625" style="1"/>
    <col min="24" max="24" width="13.5703125" style="1" bestFit="1" customWidth="1"/>
    <col min="25" max="25" width="28.140625" style="4" customWidth="1"/>
    <col min="28" max="28" width="14.28515625" style="1" bestFit="1" customWidth="1"/>
    <col min="29" max="29" width="19.42578125" style="1" bestFit="1" customWidth="1"/>
    <col min="30" max="30" width="13.85546875" bestFit="1" customWidth="1"/>
    <col min="31" max="31" width="37" style="4" customWidth="1"/>
    <col min="33" max="33" width="20" bestFit="1" customWidth="1"/>
    <col min="34" max="34" width="35.5703125" style="4" customWidth="1"/>
    <col min="35" max="35" width="11.140625" bestFit="1" customWidth="1"/>
    <col min="36" max="36" width="14.28515625" bestFit="1" customWidth="1"/>
    <col min="37" max="37" width="19.42578125" style="1" bestFit="1" customWidth="1"/>
    <col min="38" max="38" width="13.85546875" bestFit="1" customWidth="1"/>
    <col min="39" max="39" width="33.5703125" style="4" customWidth="1"/>
    <col min="40" max="40" width="14.85546875" bestFit="1" customWidth="1"/>
    <col min="41" max="41" width="20" style="1" bestFit="1" customWidth="1"/>
    <col min="42" max="42" width="34.85546875" style="4" customWidth="1"/>
  </cols>
  <sheetData>
    <row r="1" spans="1:42" x14ac:dyDescent="0.25">
      <c r="B1" s="7" t="s">
        <v>3</v>
      </c>
      <c r="C1" s="7"/>
      <c r="D1" s="7"/>
      <c r="E1" s="7"/>
      <c r="F1" s="7"/>
      <c r="G1" s="7"/>
      <c r="H1" s="7"/>
      <c r="I1" s="7"/>
      <c r="J1" s="7" t="s">
        <v>34</v>
      </c>
      <c r="K1" s="7"/>
      <c r="L1" s="7"/>
      <c r="M1" s="7"/>
      <c r="N1" s="7"/>
      <c r="O1" s="7"/>
      <c r="P1" s="7"/>
      <c r="Q1" s="7"/>
      <c r="R1" s="8" t="s">
        <v>129</v>
      </c>
      <c r="S1" s="8"/>
      <c r="T1" s="8"/>
      <c r="U1" s="8"/>
      <c r="V1" s="8"/>
      <c r="W1" s="8"/>
      <c r="X1" s="8"/>
      <c r="Y1" s="8"/>
      <c r="Z1" s="8"/>
      <c r="AA1" s="8" t="s">
        <v>104</v>
      </c>
      <c r="AB1" s="8"/>
      <c r="AC1" s="8"/>
      <c r="AD1" s="8"/>
      <c r="AE1" s="8"/>
      <c r="AF1" s="8"/>
      <c r="AG1" s="8"/>
      <c r="AH1" s="8"/>
      <c r="AI1" s="8"/>
      <c r="AK1" s="1" t="s">
        <v>128</v>
      </c>
    </row>
    <row r="2" spans="1:42" x14ac:dyDescent="0.25">
      <c r="C2" s="7" t="s">
        <v>0</v>
      </c>
      <c r="D2" s="7"/>
      <c r="E2" s="7"/>
      <c r="F2" s="7"/>
      <c r="G2" s="8" t="s">
        <v>1</v>
      </c>
      <c r="H2" s="8"/>
      <c r="I2" s="8"/>
      <c r="K2" s="7" t="s">
        <v>0</v>
      </c>
      <c r="L2" s="7"/>
      <c r="M2" s="7"/>
      <c r="N2" s="7"/>
      <c r="O2" s="8" t="s">
        <v>1</v>
      </c>
      <c r="P2" s="8"/>
      <c r="Q2" s="8"/>
      <c r="S2" s="7" t="s">
        <v>0</v>
      </c>
      <c r="T2" s="7"/>
      <c r="U2" s="7"/>
      <c r="V2" s="7"/>
      <c r="W2" s="8" t="s">
        <v>1</v>
      </c>
      <c r="X2" s="8"/>
      <c r="Y2" s="8"/>
      <c r="AB2" s="7" t="s">
        <v>0</v>
      </c>
      <c r="AC2" s="7"/>
      <c r="AD2" s="7"/>
      <c r="AE2" s="7"/>
      <c r="AF2" s="8" t="s">
        <v>1</v>
      </c>
      <c r="AG2" s="8"/>
      <c r="AH2" s="8"/>
      <c r="AJ2" s="7" t="s">
        <v>0</v>
      </c>
      <c r="AK2" s="7"/>
      <c r="AL2" s="7"/>
      <c r="AM2" s="7"/>
      <c r="AN2" s="8" t="s">
        <v>1</v>
      </c>
      <c r="AO2" s="8"/>
      <c r="AP2" s="8"/>
    </row>
    <row r="3" spans="1:42" x14ac:dyDescent="0.25">
      <c r="A3" s="2" t="s">
        <v>2</v>
      </c>
      <c r="B3" s="2" t="s">
        <v>17</v>
      </c>
      <c r="C3" s="3" t="s">
        <v>12</v>
      </c>
      <c r="D3" s="3" t="s">
        <v>13</v>
      </c>
      <c r="E3" s="3" t="s">
        <v>29</v>
      </c>
      <c r="F3" s="6" t="s">
        <v>11</v>
      </c>
      <c r="G3" s="3" t="s">
        <v>12</v>
      </c>
      <c r="H3" s="3" t="s">
        <v>13</v>
      </c>
      <c r="I3" s="6" t="s">
        <v>11</v>
      </c>
      <c r="J3" s="2" t="s">
        <v>17</v>
      </c>
      <c r="K3" s="3" t="s">
        <v>12</v>
      </c>
      <c r="L3" s="3" t="s">
        <v>13</v>
      </c>
      <c r="M3" s="3" t="s">
        <v>29</v>
      </c>
      <c r="N3" s="6" t="s">
        <v>11</v>
      </c>
      <c r="O3" s="3" t="s">
        <v>12</v>
      </c>
      <c r="P3" s="3" t="s">
        <v>13</v>
      </c>
      <c r="Q3" s="6" t="s">
        <v>11</v>
      </c>
      <c r="R3" s="2" t="s">
        <v>17</v>
      </c>
      <c r="S3" s="3" t="s">
        <v>12</v>
      </c>
      <c r="T3" s="3" t="s">
        <v>13</v>
      </c>
      <c r="U3" s="3" t="s">
        <v>29</v>
      </c>
      <c r="V3" s="6" t="s">
        <v>11</v>
      </c>
      <c r="W3" s="3" t="s">
        <v>12</v>
      </c>
      <c r="X3" s="3" t="s">
        <v>13</v>
      </c>
      <c r="Y3" s="6" t="s">
        <v>11</v>
      </c>
      <c r="AA3" s="2" t="s">
        <v>17</v>
      </c>
      <c r="AB3" s="3" t="s">
        <v>12</v>
      </c>
      <c r="AC3" s="3" t="s">
        <v>13</v>
      </c>
      <c r="AD3" s="3" t="s">
        <v>29</v>
      </c>
      <c r="AE3" s="6" t="s">
        <v>11</v>
      </c>
      <c r="AF3" s="3" t="s">
        <v>12</v>
      </c>
      <c r="AG3" s="3" t="s">
        <v>13</v>
      </c>
      <c r="AH3" s="6" t="s">
        <v>11</v>
      </c>
      <c r="AI3" s="2" t="s">
        <v>17</v>
      </c>
      <c r="AJ3" s="3" t="s">
        <v>12</v>
      </c>
      <c r="AK3" s="3" t="s">
        <v>13</v>
      </c>
      <c r="AL3" s="3" t="s">
        <v>29</v>
      </c>
      <c r="AM3" s="6" t="s">
        <v>11</v>
      </c>
      <c r="AN3" s="3" t="s">
        <v>12</v>
      </c>
      <c r="AO3" s="3" t="s">
        <v>13</v>
      </c>
      <c r="AP3" s="6" t="s">
        <v>11</v>
      </c>
    </row>
    <row r="4" spans="1:42" x14ac:dyDescent="0.25">
      <c r="C4" s="1" t="str">
        <f>CONCATENATE(Results!$C$2," ",Results!$C$3)</f>
        <v>Passel Time (s)</v>
      </c>
      <c r="D4" s="1" t="str">
        <f>CONCATENATE(Results!$C$2," ",Results!$D$3)</f>
        <v>Passel Memory (MB)</v>
      </c>
      <c r="G4" s="1" t="str">
        <f>CONCATENATE(Results!$G$2," ",Results!$G$3)</f>
        <v>Phaver Time (s)</v>
      </c>
      <c r="H4" s="1" t="str">
        <f>CONCATENATE(Results!$G$2," ",Results!$H$3)</f>
        <v>Phaver Memory (MB)</v>
      </c>
      <c r="K4" s="1" t="str">
        <f>CONCATENATE(Results!$C$2," ",Results!$C$3)</f>
        <v>Passel Time (s)</v>
      </c>
      <c r="L4" s="1" t="str">
        <f>CONCATENATE(Results!$C$2," ",Results!$D$3)</f>
        <v>Passel Memory (MB)</v>
      </c>
      <c r="M4" s="1"/>
      <c r="O4" s="1" t="str">
        <f>CONCATENATE(Results!$G$2," ",Results!$G$3)</f>
        <v>Phaver Time (s)</v>
      </c>
      <c r="P4" s="1" t="str">
        <f>CONCATENATE(Results!$G$2," ",Results!$H$3)</f>
        <v>Phaver Memory (MB)</v>
      </c>
      <c r="S4" s="1" t="str">
        <f>CONCATENATE(Results!$C$2," ",Results!$C$3)</f>
        <v>Passel Time (s)</v>
      </c>
      <c r="T4" s="1" t="str">
        <f>CONCATENATE(Results!$C$2," ",Results!$D$3)</f>
        <v>Passel Memory (MB)</v>
      </c>
      <c r="W4" s="1" t="str">
        <f>CONCATENATE(Results!$G$2," ",Results!$G$3)</f>
        <v>Phaver Time (s)</v>
      </c>
      <c r="X4" s="1" t="str">
        <f>CONCATENATE(Results!$G$2," ",Results!$H$3)</f>
        <v>Phaver Memory (MB)</v>
      </c>
      <c r="AB4" s="1" t="str">
        <f>CONCATENATE(Results!$C$2," ",Results!$C$3)</f>
        <v>Passel Time (s)</v>
      </c>
      <c r="AC4" s="1" t="str">
        <f>CONCATENATE(Results!$C$2," ",Results!$D$3)</f>
        <v>Passel Memory (MB)</v>
      </c>
      <c r="AF4" s="1" t="str">
        <f>CONCATENATE(Results!$G$2," ",Results!$G$3)</f>
        <v>Phaver Time (s)</v>
      </c>
      <c r="AG4" s="1" t="str">
        <f>CONCATENATE(Results!$G$2," ",Results!$H$3)</f>
        <v>Phaver Memory (MB)</v>
      </c>
      <c r="AJ4" s="1" t="str">
        <f>CONCATENATE(Results!$C$2," ",Results!$C$3)</f>
        <v>Passel Time (s)</v>
      </c>
      <c r="AK4" s="1" t="str">
        <f>CONCATENATE(Results!$C$2," ",Results!$D$3)</f>
        <v>Passel Memory (MB)</v>
      </c>
      <c r="AN4" s="1" t="str">
        <f>CONCATENATE(Results!$G$2," ",Results!$G$3)</f>
        <v>Phaver Time (s)</v>
      </c>
      <c r="AO4" s="1" t="str">
        <f>CONCATENATE(Results!$G$2," ",Results!$H$3)</f>
        <v>Phaver Memory (MB)</v>
      </c>
    </row>
    <row r="5" spans="1:42" ht="45" x14ac:dyDescent="0.25">
      <c r="A5">
        <f>ROW()-4</f>
        <v>1</v>
      </c>
      <c r="B5">
        <f>POWER(5,A5)</f>
        <v>5</v>
      </c>
      <c r="C5" s="1">
        <v>1.61</v>
      </c>
      <c r="D5" s="1">
        <f>70600/1024</f>
        <v>68.9453125</v>
      </c>
      <c r="E5" s="1">
        <v>0</v>
      </c>
      <c r="F5" s="4" t="s">
        <v>8</v>
      </c>
      <c r="G5" s="1">
        <v>0.1</v>
      </c>
      <c r="H5" s="1">
        <f>2008/1024</f>
        <v>1.9609375</v>
      </c>
      <c r="I5" s="4" t="s">
        <v>19</v>
      </c>
      <c r="J5">
        <f>POWER(3,A5)*2</f>
        <v>6</v>
      </c>
      <c r="K5" s="1">
        <v>1.1100000000000001</v>
      </c>
      <c r="L5" s="1">
        <f>69672/1024</f>
        <v>68.0390625</v>
      </c>
      <c r="M5" s="1">
        <v>0</v>
      </c>
      <c r="N5" s="4" t="s">
        <v>35</v>
      </c>
      <c r="O5" s="1">
        <v>0.1</v>
      </c>
      <c r="P5" s="1">
        <f>2008/1024</f>
        <v>1.9609375</v>
      </c>
      <c r="Q5" s="4" t="s">
        <v>52</v>
      </c>
      <c r="R5">
        <f>POWER(3,A5)*A5</f>
        <v>3</v>
      </c>
      <c r="S5" s="1">
        <v>1.21</v>
      </c>
      <c r="T5" s="1">
        <f>70060/1024</f>
        <v>68.41796875</v>
      </c>
      <c r="V5" s="4" t="s">
        <v>86</v>
      </c>
      <c r="W5" s="1">
        <v>0.1</v>
      </c>
      <c r="X5" s="1">
        <f>2004/1024</f>
        <v>1.95703125</v>
      </c>
      <c r="Y5" s="4" t="s">
        <v>81</v>
      </c>
      <c r="AB5" s="1">
        <v>1.72</v>
      </c>
      <c r="AC5" s="1">
        <f>72816/1024</f>
        <v>71.109375</v>
      </c>
      <c r="AE5" s="4" t="s">
        <v>110</v>
      </c>
      <c r="AF5" s="1">
        <f>0.1</f>
        <v>0.1</v>
      </c>
      <c r="AG5" s="1">
        <f>2004/1024</f>
        <v>1.95703125</v>
      </c>
      <c r="AH5" s="4" t="s">
        <v>109</v>
      </c>
      <c r="AJ5" s="1">
        <v>1.21</v>
      </c>
      <c r="AK5" s="1">
        <f>69332/1024</f>
        <v>67.70703125</v>
      </c>
      <c r="AM5" s="4" t="s">
        <v>139</v>
      </c>
      <c r="AN5" s="1">
        <v>0.1</v>
      </c>
      <c r="AO5" s="1">
        <f>2004/1024</f>
        <v>1.95703125</v>
      </c>
      <c r="AP5" s="4" t="s">
        <v>134</v>
      </c>
    </row>
    <row r="6" spans="1:42" ht="45" x14ac:dyDescent="0.25">
      <c r="A6">
        <f t="shared" ref="A6:A69" si="0">ROW()-4</f>
        <v>2</v>
      </c>
      <c r="B6">
        <f t="shared" ref="B6:B34" si="1">POWER(5,A6)</f>
        <v>25</v>
      </c>
      <c r="C6" s="1">
        <v>2.83</v>
      </c>
      <c r="D6" s="1">
        <f>73392/1024</f>
        <v>71.671875</v>
      </c>
      <c r="E6" s="1">
        <f t="shared" ref="E6:E19" si="2">D6-D5</f>
        <v>2.7265625</v>
      </c>
      <c r="F6" s="4" t="s">
        <v>7</v>
      </c>
      <c r="G6" s="1">
        <v>0.21</v>
      </c>
      <c r="H6" s="1">
        <f>5992/1024</f>
        <v>5.8515625</v>
      </c>
      <c r="I6" s="4" t="s">
        <v>20</v>
      </c>
      <c r="J6">
        <f t="shared" ref="J6:J54" si="3">POWER(3,A6)*2</f>
        <v>18</v>
      </c>
      <c r="K6" s="1">
        <v>1.1100000000000001</v>
      </c>
      <c r="L6" s="1">
        <f>69784/1024</f>
        <v>68.1484375</v>
      </c>
      <c r="M6" s="1">
        <f t="shared" ref="M6:M19" si="4">L6-L5</f>
        <v>0.109375</v>
      </c>
      <c r="N6" s="4" t="s">
        <v>36</v>
      </c>
      <c r="O6" s="1">
        <v>0.1</v>
      </c>
      <c r="P6" s="1">
        <f>2008/1024</f>
        <v>1.9609375</v>
      </c>
      <c r="Q6" s="4" t="s">
        <v>57</v>
      </c>
      <c r="R6">
        <f t="shared" ref="R6:R38" si="5">POWER(3,A6)*A6</f>
        <v>18</v>
      </c>
      <c r="S6" s="1">
        <v>3.03</v>
      </c>
      <c r="T6" s="1">
        <f>75200/1024</f>
        <v>73.4375</v>
      </c>
      <c r="V6" s="4" t="s">
        <v>87</v>
      </c>
      <c r="W6" s="1">
        <v>0.1</v>
      </c>
      <c r="X6" s="1">
        <f>2004/1024</f>
        <v>1.95703125</v>
      </c>
      <c r="Y6" s="4" t="s">
        <v>84</v>
      </c>
      <c r="AB6" s="1">
        <v>5.83</v>
      </c>
      <c r="AC6" s="1">
        <f>75724/1024</f>
        <v>73.94921875</v>
      </c>
      <c r="AE6" s="4" t="s">
        <v>111</v>
      </c>
      <c r="AF6" s="1">
        <f>0.1</f>
        <v>0.1</v>
      </c>
      <c r="AG6" s="1">
        <f>2004/1024</f>
        <v>1.95703125</v>
      </c>
      <c r="AH6" s="4" t="s">
        <v>108</v>
      </c>
      <c r="AJ6" s="1">
        <v>3.22</v>
      </c>
      <c r="AK6" s="1">
        <f>75560/1024</f>
        <v>73.7890625</v>
      </c>
      <c r="AM6" s="4" t="s">
        <v>140</v>
      </c>
      <c r="AN6" s="1">
        <v>0.2</v>
      </c>
      <c r="AO6" s="1">
        <f>5604/1024</f>
        <v>5.47265625</v>
      </c>
      <c r="AP6" s="4" t="s">
        <v>135</v>
      </c>
    </row>
    <row r="7" spans="1:42" ht="45" x14ac:dyDescent="0.25">
      <c r="A7">
        <f t="shared" si="0"/>
        <v>3</v>
      </c>
      <c r="B7">
        <f t="shared" si="1"/>
        <v>125</v>
      </c>
      <c r="C7" s="1">
        <v>4.75</v>
      </c>
      <c r="D7" s="1">
        <f>74532/1024</f>
        <v>72.78515625</v>
      </c>
      <c r="E7" s="1">
        <f t="shared" si="2"/>
        <v>1.11328125</v>
      </c>
      <c r="F7" s="4" t="s">
        <v>6</v>
      </c>
      <c r="G7" s="1">
        <v>0.91</v>
      </c>
      <c r="H7" s="1">
        <f>9828/1024</f>
        <v>9.59765625</v>
      </c>
      <c r="I7" s="4" t="s">
        <v>21</v>
      </c>
      <c r="J7">
        <f t="shared" si="3"/>
        <v>54</v>
      </c>
      <c r="K7" s="1">
        <v>1.62</v>
      </c>
      <c r="L7" s="1">
        <f>71584/1024</f>
        <v>69.90625</v>
      </c>
      <c r="M7" s="1">
        <f t="shared" si="4"/>
        <v>1.7578125</v>
      </c>
      <c r="N7" s="4" t="s">
        <v>37</v>
      </c>
      <c r="O7" s="1">
        <v>0.2</v>
      </c>
      <c r="P7" s="1">
        <f>6012/1024</f>
        <v>5.87109375</v>
      </c>
      <c r="Q7" s="4" t="s">
        <v>56</v>
      </c>
      <c r="R7">
        <f t="shared" si="5"/>
        <v>81</v>
      </c>
      <c r="S7" s="1">
        <v>3.03</v>
      </c>
      <c r="T7" s="1">
        <f>76240/1024</f>
        <v>74.453125</v>
      </c>
      <c r="V7" s="4" t="s">
        <v>88</v>
      </c>
      <c r="W7" s="1">
        <v>0.4</v>
      </c>
      <c r="X7" s="1">
        <f>6756/1024</f>
        <v>6.59765625</v>
      </c>
      <c r="Y7" s="4" t="s">
        <v>82</v>
      </c>
      <c r="AB7" s="1">
        <v>10.01</v>
      </c>
      <c r="AC7" s="1">
        <f>81156/1024</f>
        <v>79.25390625</v>
      </c>
      <c r="AE7" s="4" t="s">
        <v>112</v>
      </c>
      <c r="AF7" s="1">
        <f>0.71</f>
        <v>0.71</v>
      </c>
      <c r="AG7" s="1">
        <f>7944/1024</f>
        <v>7.7578125</v>
      </c>
      <c r="AH7" s="4" t="s">
        <v>107</v>
      </c>
      <c r="AJ7">
        <v>4.03</v>
      </c>
      <c r="AK7" s="1">
        <f>77960/1024</f>
        <v>76.1328125</v>
      </c>
      <c r="AM7" s="4" t="s">
        <v>141</v>
      </c>
      <c r="AN7">
        <v>0.3</v>
      </c>
      <c r="AO7" s="1">
        <f>5856/1024</f>
        <v>5.71875</v>
      </c>
      <c r="AP7" s="4" t="s">
        <v>136</v>
      </c>
    </row>
    <row r="8" spans="1:42" ht="45" x14ac:dyDescent="0.25">
      <c r="A8">
        <f t="shared" si="0"/>
        <v>4</v>
      </c>
      <c r="B8">
        <f t="shared" si="1"/>
        <v>625</v>
      </c>
      <c r="C8" s="1">
        <v>7.88</v>
      </c>
      <c r="D8" s="1">
        <f>75364/1024</f>
        <v>73.59765625</v>
      </c>
      <c r="E8" s="1">
        <f t="shared" si="2"/>
        <v>0.8125</v>
      </c>
      <c r="F8" s="4" t="s">
        <v>5</v>
      </c>
      <c r="G8" s="1">
        <v>4.54</v>
      </c>
      <c r="H8" s="1">
        <f>29492/1024</f>
        <v>28.80078125</v>
      </c>
      <c r="I8" s="4" t="s">
        <v>22</v>
      </c>
      <c r="J8">
        <f t="shared" si="3"/>
        <v>162</v>
      </c>
      <c r="K8" s="1">
        <v>2.02</v>
      </c>
      <c r="L8" s="1">
        <f>71592/1024</f>
        <v>69.9140625</v>
      </c>
      <c r="M8" s="1">
        <f t="shared" si="4"/>
        <v>7.8125E-3</v>
      </c>
      <c r="N8" s="4" t="s">
        <v>38</v>
      </c>
      <c r="O8" s="1">
        <v>0.3</v>
      </c>
      <c r="P8" s="1">
        <f>7784/1024</f>
        <v>7.6015625</v>
      </c>
      <c r="Q8" s="4" t="s">
        <v>55</v>
      </c>
      <c r="R8">
        <f t="shared" si="5"/>
        <v>324</v>
      </c>
      <c r="S8" s="1">
        <v>3.03</v>
      </c>
      <c r="T8" s="1">
        <f>75928/1024</f>
        <v>74.1484375</v>
      </c>
      <c r="V8" s="4" t="s">
        <v>89</v>
      </c>
      <c r="W8" s="1">
        <v>1.52</v>
      </c>
      <c r="X8" s="1">
        <f>11920/1024</f>
        <v>11.640625</v>
      </c>
      <c r="Y8" s="4" t="s">
        <v>83</v>
      </c>
      <c r="AB8" s="1">
        <v>16.850000000000001</v>
      </c>
      <c r="AC8" s="1">
        <f>81904/1024</f>
        <v>79.984375</v>
      </c>
      <c r="AE8" s="4" t="s">
        <v>113</v>
      </c>
      <c r="AF8" s="1">
        <f>8.89</f>
        <v>8.89</v>
      </c>
      <c r="AG8" s="1">
        <f>26080/1024</f>
        <v>25.46875</v>
      </c>
      <c r="AH8" s="4" t="s">
        <v>106</v>
      </c>
      <c r="AJ8" s="1">
        <v>4.8499999999999996</v>
      </c>
      <c r="AK8" s="1">
        <f>79520/1024</f>
        <v>77.65625</v>
      </c>
      <c r="AM8" s="4" t="s">
        <v>142</v>
      </c>
      <c r="AN8" s="1">
        <v>0.51</v>
      </c>
      <c r="AO8" s="1">
        <f>6900/1024</f>
        <v>6.73828125</v>
      </c>
      <c r="AP8" s="4" t="s">
        <v>137</v>
      </c>
    </row>
    <row r="9" spans="1:42" ht="45" x14ac:dyDescent="0.25">
      <c r="A9">
        <f t="shared" si="0"/>
        <v>5</v>
      </c>
      <c r="B9">
        <f t="shared" si="1"/>
        <v>3125</v>
      </c>
      <c r="C9" s="1">
        <v>13.67</v>
      </c>
      <c r="D9" s="1">
        <f>76016/1024</f>
        <v>74.234375</v>
      </c>
      <c r="E9" s="1">
        <f t="shared" si="2"/>
        <v>0.63671875</v>
      </c>
      <c r="F9" s="4" t="s">
        <v>4</v>
      </c>
      <c r="G9" s="1">
        <v>28.06</v>
      </c>
      <c r="H9" s="1">
        <f>114908/1024</f>
        <v>112.21484375</v>
      </c>
      <c r="I9" s="4" t="s">
        <v>23</v>
      </c>
      <c r="J9">
        <f t="shared" si="3"/>
        <v>486</v>
      </c>
      <c r="K9" s="1">
        <v>2.3199999999999998</v>
      </c>
      <c r="L9" s="1">
        <f>71648/1024</f>
        <v>69.96875</v>
      </c>
      <c r="M9" s="1">
        <f t="shared" si="4"/>
        <v>5.46875E-2</v>
      </c>
      <c r="N9" s="4" t="s">
        <v>39</v>
      </c>
      <c r="O9" s="1">
        <v>0.81</v>
      </c>
      <c r="P9" s="1">
        <f>13440/1024</f>
        <v>13.125</v>
      </c>
      <c r="Q9" s="4" t="s">
        <v>58</v>
      </c>
      <c r="R9">
        <f t="shared" si="5"/>
        <v>1215</v>
      </c>
      <c r="S9" s="1">
        <v>3.03</v>
      </c>
      <c r="T9" s="1">
        <f>75968/1024</f>
        <v>74.1875</v>
      </c>
      <c r="V9" s="4" t="s">
        <v>90</v>
      </c>
      <c r="W9" s="1">
        <v>11.62</v>
      </c>
      <c r="X9" s="1">
        <f>38000/1024</f>
        <v>37.109375</v>
      </c>
      <c r="Y9" s="4" t="s">
        <v>78</v>
      </c>
      <c r="AB9" s="1">
        <v>35.97</v>
      </c>
      <c r="AC9" s="1">
        <f>82732/1024</f>
        <v>80.79296875</v>
      </c>
      <c r="AE9" s="4" t="s">
        <v>114</v>
      </c>
      <c r="AF9" s="1">
        <f>190.7</f>
        <v>190.7</v>
      </c>
      <c r="AG9" s="1">
        <f>188384/1024</f>
        <v>183.96875</v>
      </c>
      <c r="AH9" s="4" t="s">
        <v>105</v>
      </c>
      <c r="AJ9" s="1">
        <v>5.95</v>
      </c>
      <c r="AK9" s="1">
        <f>80008/1024</f>
        <v>78.1328125</v>
      </c>
      <c r="AM9" s="4" t="s">
        <v>143</v>
      </c>
      <c r="AN9">
        <v>1.93</v>
      </c>
      <c r="AO9" s="1">
        <f>11240/1024</f>
        <v>10.9765625</v>
      </c>
      <c r="AP9" s="4" t="s">
        <v>132</v>
      </c>
    </row>
    <row r="10" spans="1:42" ht="60" x14ac:dyDescent="0.25">
      <c r="A10">
        <f t="shared" si="0"/>
        <v>6</v>
      </c>
      <c r="B10">
        <f t="shared" si="1"/>
        <v>15625</v>
      </c>
      <c r="C10" s="1">
        <v>22.09</v>
      </c>
      <c r="D10" s="1">
        <f>76768/1024</f>
        <v>74.96875</v>
      </c>
      <c r="E10" s="1">
        <f t="shared" si="2"/>
        <v>0.734375</v>
      </c>
      <c r="F10" s="4" t="s">
        <v>15</v>
      </c>
      <c r="G10" s="1">
        <v>202.4</v>
      </c>
      <c r="H10" s="1">
        <f>628240/1024</f>
        <v>613.515625</v>
      </c>
      <c r="I10" s="4" t="s">
        <v>24</v>
      </c>
      <c r="J10">
        <f t="shared" si="3"/>
        <v>1458</v>
      </c>
      <c r="K10" s="1">
        <v>2.5299999999999998</v>
      </c>
      <c r="L10" s="1">
        <f>71840/1024</f>
        <v>70.15625</v>
      </c>
      <c r="M10" s="1">
        <f t="shared" si="4"/>
        <v>0.1875</v>
      </c>
      <c r="N10" s="4" t="s">
        <v>51</v>
      </c>
      <c r="O10" s="1">
        <v>2.73</v>
      </c>
      <c r="P10" s="1">
        <f>31844/1024</f>
        <v>31.09765625</v>
      </c>
      <c r="Q10" s="4" t="s">
        <v>54</v>
      </c>
      <c r="R10">
        <f t="shared" si="5"/>
        <v>4374</v>
      </c>
      <c r="S10" s="1">
        <v>3.03</v>
      </c>
      <c r="T10" s="1">
        <f>75968/1024</f>
        <v>74.1875</v>
      </c>
      <c r="V10" s="4" t="s">
        <v>91</v>
      </c>
      <c r="W10" s="1">
        <v>252.51</v>
      </c>
      <c r="X10" s="1">
        <f>195372/1024</f>
        <v>190.79296875</v>
      </c>
      <c r="Y10" s="4" t="s">
        <v>79</v>
      </c>
      <c r="AB10" s="1">
        <f>60.62</f>
        <v>60.62</v>
      </c>
      <c r="AC10" s="1">
        <f>84528/1024</f>
        <v>82.546875</v>
      </c>
      <c r="AE10" s="4" t="s">
        <v>115</v>
      </c>
      <c r="AF10" s="1"/>
      <c r="AG10" s="1"/>
      <c r="AH10" s="4" t="s">
        <v>85</v>
      </c>
      <c r="AJ10" s="1">
        <f>6.98</f>
        <v>6.98</v>
      </c>
      <c r="AK10" s="1">
        <f>80220/1024</f>
        <v>78.33984375</v>
      </c>
      <c r="AM10" s="4" t="s">
        <v>146</v>
      </c>
      <c r="AN10" s="1">
        <v>5.05</v>
      </c>
      <c r="AO10" s="1">
        <f>20972/1024</f>
        <v>20.48046875</v>
      </c>
      <c r="AP10" s="4" t="s">
        <v>138</v>
      </c>
    </row>
    <row r="11" spans="1:42" ht="60" x14ac:dyDescent="0.25">
      <c r="A11">
        <f t="shared" si="0"/>
        <v>7</v>
      </c>
      <c r="B11">
        <f t="shared" si="1"/>
        <v>78125</v>
      </c>
      <c r="C11" s="1">
        <v>30.29</v>
      </c>
      <c r="D11" s="1">
        <f>77664/1024</f>
        <v>75.84375</v>
      </c>
      <c r="E11" s="1">
        <f t="shared" si="2"/>
        <v>0.875</v>
      </c>
      <c r="F11" s="4" t="s">
        <v>10</v>
      </c>
      <c r="I11" s="4" t="s">
        <v>9</v>
      </c>
      <c r="J11">
        <f t="shared" si="3"/>
        <v>4374</v>
      </c>
      <c r="K11" s="1">
        <v>2.72</v>
      </c>
      <c r="L11" s="1">
        <f>71676/1024</f>
        <v>69.99609375</v>
      </c>
      <c r="M11" s="1">
        <f t="shared" si="4"/>
        <v>-0.16015625</v>
      </c>
      <c r="N11" s="4" t="s">
        <v>40</v>
      </c>
      <c r="O11" s="1">
        <v>10.79</v>
      </c>
      <c r="P11" s="1">
        <f>120600/1024</f>
        <v>117.7734375</v>
      </c>
      <c r="Q11" s="4" t="s">
        <v>53</v>
      </c>
      <c r="R11">
        <f t="shared" si="5"/>
        <v>15309</v>
      </c>
      <c r="S11" s="1">
        <v>3.03</v>
      </c>
      <c r="T11" s="1">
        <f>75972/1024</f>
        <v>74.19140625</v>
      </c>
      <c r="V11" s="4" t="s">
        <v>92</v>
      </c>
      <c r="W11" s="1">
        <v>11853.35</v>
      </c>
      <c r="X11" s="1">
        <f>1338652/1024</f>
        <v>1307.27734375</v>
      </c>
      <c r="Y11" s="4" t="s">
        <v>80</v>
      </c>
      <c r="AB11" s="1">
        <v>98.3</v>
      </c>
      <c r="AC11" s="1">
        <f>86312/1024</f>
        <v>84.2890625</v>
      </c>
      <c r="AE11" s="4" t="s">
        <v>119</v>
      </c>
      <c r="AF11" s="1"/>
      <c r="AG11" s="1"/>
      <c r="AJ11" s="1">
        <f>8.08</f>
        <v>8.08</v>
      </c>
      <c r="AK11" s="1">
        <f>80300/1024</f>
        <v>78.41796875</v>
      </c>
      <c r="AM11" s="4" t="s">
        <v>147</v>
      </c>
      <c r="AN11">
        <v>19.82</v>
      </c>
      <c r="AO11" s="1">
        <f>60480/1024</f>
        <v>59.0625</v>
      </c>
      <c r="AP11" s="4" t="s">
        <v>131</v>
      </c>
    </row>
    <row r="12" spans="1:42" ht="45" x14ac:dyDescent="0.25">
      <c r="A12">
        <f t="shared" si="0"/>
        <v>8</v>
      </c>
      <c r="B12">
        <f t="shared" si="1"/>
        <v>390625</v>
      </c>
      <c r="C12" s="1">
        <v>43.63</v>
      </c>
      <c r="D12" s="1">
        <f>79012/1024</f>
        <v>77.16015625</v>
      </c>
      <c r="E12" s="1">
        <f t="shared" si="2"/>
        <v>1.31640625</v>
      </c>
      <c r="F12" s="4" t="s">
        <v>14</v>
      </c>
      <c r="I12" s="4" t="s">
        <v>9</v>
      </c>
      <c r="J12">
        <f t="shared" si="3"/>
        <v>13122</v>
      </c>
      <c r="K12" s="1">
        <v>2.93</v>
      </c>
      <c r="L12" s="1">
        <f>71764/1024</f>
        <v>70.08203125</v>
      </c>
      <c r="M12" s="1">
        <f t="shared" si="4"/>
        <v>8.59375E-2</v>
      </c>
      <c r="N12" s="4" t="s">
        <v>41</v>
      </c>
      <c r="O12" s="1">
        <v>49.3</v>
      </c>
      <c r="P12" s="1">
        <f>289260/1024</f>
        <v>282.48046875</v>
      </c>
      <c r="Q12" s="4" t="s">
        <v>59</v>
      </c>
      <c r="R12">
        <f t="shared" si="5"/>
        <v>52488</v>
      </c>
      <c r="S12" s="1">
        <v>3.03</v>
      </c>
      <c r="T12" s="1">
        <f>75964/1024</f>
        <v>74.18359375</v>
      </c>
      <c r="V12" s="4" t="s">
        <v>93</v>
      </c>
      <c r="Y12" s="4" t="s">
        <v>85</v>
      </c>
      <c r="AB12" s="1">
        <v>146.51</v>
      </c>
      <c r="AC12" s="1">
        <f>86312/1024</f>
        <v>84.2890625</v>
      </c>
      <c r="AE12" s="4" t="s">
        <v>118</v>
      </c>
      <c r="AJ12" s="1">
        <v>8.98</v>
      </c>
      <c r="AK12" s="1">
        <f>80340/1024</f>
        <v>78.45703125</v>
      </c>
      <c r="AM12" s="4" t="s">
        <v>144</v>
      </c>
      <c r="AN12">
        <v>92.31</v>
      </c>
      <c r="AO12" s="1">
        <f>192256/1024</f>
        <v>187.75</v>
      </c>
      <c r="AP12" s="4" t="s">
        <v>130</v>
      </c>
    </row>
    <row r="13" spans="1:42" ht="45" x14ac:dyDescent="0.25">
      <c r="A13">
        <f t="shared" si="0"/>
        <v>9</v>
      </c>
      <c r="B13">
        <f t="shared" si="1"/>
        <v>1953125</v>
      </c>
      <c r="C13" s="1">
        <v>62.41</v>
      </c>
      <c r="D13" s="1">
        <f>80036/1024</f>
        <v>78.16015625</v>
      </c>
      <c r="E13" s="1">
        <f t="shared" si="2"/>
        <v>1</v>
      </c>
      <c r="F13" s="4" t="s">
        <v>16</v>
      </c>
      <c r="I13" s="4" t="s">
        <v>9</v>
      </c>
      <c r="J13">
        <f t="shared" si="3"/>
        <v>39366</v>
      </c>
      <c r="K13" s="1">
        <v>3.22</v>
      </c>
      <c r="L13" s="1">
        <f>71744/1024</f>
        <v>70.0625</v>
      </c>
      <c r="M13" s="1">
        <f t="shared" si="4"/>
        <v>-1.953125E-2</v>
      </c>
      <c r="N13" s="4" t="s">
        <v>42</v>
      </c>
      <c r="O13" s="1">
        <v>306.77999999999997</v>
      </c>
      <c r="P13" s="1">
        <f>1010848/1024</f>
        <v>987.15625</v>
      </c>
      <c r="Q13" s="4" t="s">
        <v>60</v>
      </c>
      <c r="R13">
        <f t="shared" si="5"/>
        <v>177147</v>
      </c>
      <c r="S13" s="1">
        <v>3.03</v>
      </c>
      <c r="T13" s="1">
        <f>76160/1024</f>
        <v>74.375</v>
      </c>
      <c r="V13" s="4" t="s">
        <v>94</v>
      </c>
      <c r="AB13" s="1">
        <v>212.3</v>
      </c>
      <c r="AC13" s="1">
        <f>92060/1024</f>
        <v>89.90234375</v>
      </c>
      <c r="AE13" s="4" t="s">
        <v>117</v>
      </c>
      <c r="AJ13" s="1">
        <v>10.199999999999999</v>
      </c>
      <c r="AK13" s="1">
        <f>80948/1024</f>
        <v>79.05078125</v>
      </c>
      <c r="AM13" s="4" t="s">
        <v>145</v>
      </c>
      <c r="AN13">
        <v>472.97</v>
      </c>
      <c r="AO13" s="1">
        <f>603600/1024</f>
        <v>589.453125</v>
      </c>
      <c r="AP13" s="4" t="s">
        <v>133</v>
      </c>
    </row>
    <row r="14" spans="1:42" ht="45" x14ac:dyDescent="0.25">
      <c r="A14">
        <f t="shared" si="0"/>
        <v>10</v>
      </c>
      <c r="B14">
        <f t="shared" si="1"/>
        <v>9765625</v>
      </c>
      <c r="C14" s="1">
        <f>87.39</f>
        <v>87.39</v>
      </c>
      <c r="D14" s="1">
        <f>82688/1024</f>
        <v>80.75</v>
      </c>
      <c r="E14" s="1">
        <f t="shared" si="2"/>
        <v>2.58984375</v>
      </c>
      <c r="F14" s="4" t="s">
        <v>18</v>
      </c>
      <c r="I14" s="4" t="s">
        <v>9</v>
      </c>
      <c r="J14">
        <f t="shared" si="3"/>
        <v>118098</v>
      </c>
      <c r="K14" s="1">
        <v>3.43</v>
      </c>
      <c r="L14" s="1">
        <f>71676/1024</f>
        <v>69.99609375</v>
      </c>
      <c r="M14" s="1">
        <f t="shared" si="4"/>
        <v>-6.640625E-2</v>
      </c>
      <c r="N14" s="4" t="s">
        <v>43</v>
      </c>
      <c r="O14" s="1">
        <v>2711.79</v>
      </c>
      <c r="P14" s="1">
        <f>2857480/1024</f>
        <v>2790.5078125</v>
      </c>
      <c r="Q14" s="4" t="s">
        <v>61</v>
      </c>
      <c r="R14">
        <f t="shared" si="5"/>
        <v>590490</v>
      </c>
      <c r="S14" s="1">
        <v>3.03</v>
      </c>
      <c r="T14" s="1">
        <f>75964/1024</f>
        <v>74.18359375</v>
      </c>
      <c r="V14" s="4" t="s">
        <v>95</v>
      </c>
      <c r="AB14" s="1">
        <v>323.74</v>
      </c>
      <c r="AC14" s="1">
        <f>93052/1024</f>
        <v>90.87109375</v>
      </c>
      <c r="AE14" s="4" t="s">
        <v>116</v>
      </c>
      <c r="AJ14" s="1">
        <v>12.12</v>
      </c>
      <c r="AK14" s="1">
        <f>80848/1024</f>
        <v>78.953125</v>
      </c>
      <c r="AM14" s="4" t="s">
        <v>148</v>
      </c>
    </row>
    <row r="15" spans="1:42" ht="45" x14ac:dyDescent="0.25">
      <c r="A15">
        <f t="shared" si="0"/>
        <v>11</v>
      </c>
      <c r="B15">
        <f t="shared" si="1"/>
        <v>48828125</v>
      </c>
      <c r="C15" s="1">
        <f>115.42</f>
        <v>115.42</v>
      </c>
      <c r="D15" s="1">
        <f>84796/1024</f>
        <v>82.80859375</v>
      </c>
      <c r="E15" s="1">
        <f t="shared" si="2"/>
        <v>2.05859375</v>
      </c>
      <c r="F15" s="4" t="s">
        <v>25</v>
      </c>
      <c r="I15" s="4" t="s">
        <v>9</v>
      </c>
      <c r="J15">
        <f t="shared" si="3"/>
        <v>354294</v>
      </c>
      <c r="K15" s="1">
        <v>3.63</v>
      </c>
      <c r="L15" s="1">
        <f>71764/1024</f>
        <v>70.08203125</v>
      </c>
      <c r="M15" s="1">
        <f t="shared" si="4"/>
        <v>8.59375E-2</v>
      </c>
      <c r="N15" s="4" t="s">
        <v>44</v>
      </c>
      <c r="O15" s="1"/>
      <c r="P15" s="1"/>
      <c r="R15">
        <f t="shared" si="5"/>
        <v>1948617</v>
      </c>
      <c r="S15" s="1">
        <v>3.13</v>
      </c>
      <c r="T15" s="1">
        <f>75972/1024</f>
        <v>74.19140625</v>
      </c>
      <c r="V15" s="4" t="s">
        <v>154</v>
      </c>
      <c r="AB15" s="1">
        <v>472.85</v>
      </c>
      <c r="AC15" s="1">
        <f>97344/1024</f>
        <v>95.0625</v>
      </c>
      <c r="AE15" s="4" t="s">
        <v>120</v>
      </c>
      <c r="AJ15" s="1">
        <v>16.16</v>
      </c>
      <c r="AK15" s="1">
        <f>81392/1024</f>
        <v>79.484375</v>
      </c>
      <c r="AM15" s="4" t="s">
        <v>158</v>
      </c>
    </row>
    <row r="16" spans="1:42" ht="45" x14ac:dyDescent="0.25">
      <c r="A16">
        <f t="shared" si="0"/>
        <v>12</v>
      </c>
      <c r="B16">
        <f t="shared" si="1"/>
        <v>244140625</v>
      </c>
      <c r="C16" s="1">
        <v>149.96</v>
      </c>
      <c r="D16" s="1">
        <f>88184/1024</f>
        <v>86.1171875</v>
      </c>
      <c r="E16" s="1">
        <f t="shared" si="2"/>
        <v>3.30859375</v>
      </c>
      <c r="F16" s="4" t="s">
        <v>26</v>
      </c>
      <c r="I16" s="4" t="s">
        <v>9</v>
      </c>
      <c r="J16">
        <f t="shared" si="3"/>
        <v>1062882</v>
      </c>
      <c r="K16" s="1">
        <v>3.82</v>
      </c>
      <c r="L16" s="1">
        <f>71776/1024</f>
        <v>70.09375</v>
      </c>
      <c r="M16" s="1">
        <f t="shared" si="4"/>
        <v>1.171875E-2</v>
      </c>
      <c r="N16" s="4" t="s">
        <v>77</v>
      </c>
      <c r="O16" s="1"/>
      <c r="P16" s="1"/>
      <c r="R16">
        <f t="shared" si="5"/>
        <v>6377292</v>
      </c>
      <c r="S16" s="1">
        <v>3.03</v>
      </c>
      <c r="T16" s="1">
        <f>75968/1024</f>
        <v>74.1875</v>
      </c>
      <c r="V16" s="4" t="s">
        <v>155</v>
      </c>
      <c r="AB16" s="1">
        <v>636.91</v>
      </c>
      <c r="AC16" s="1">
        <f>103676/1024</f>
        <v>101.24609375</v>
      </c>
      <c r="AE16" s="4" t="s">
        <v>121</v>
      </c>
      <c r="AJ16" s="1">
        <v>13.12</v>
      </c>
      <c r="AK16" s="1">
        <f>81568/1024</f>
        <v>79.65625</v>
      </c>
      <c r="AM16" s="4" t="s">
        <v>159</v>
      </c>
    </row>
    <row r="17" spans="1:39" ht="45" x14ac:dyDescent="0.25">
      <c r="A17">
        <f t="shared" si="0"/>
        <v>13</v>
      </c>
      <c r="B17">
        <f t="shared" si="1"/>
        <v>1220703125</v>
      </c>
      <c r="C17" s="1">
        <v>188.43</v>
      </c>
      <c r="D17" s="1">
        <f>90700/1024</f>
        <v>88.57421875</v>
      </c>
      <c r="E17" s="1">
        <f t="shared" si="2"/>
        <v>2.45703125</v>
      </c>
      <c r="F17" s="4" t="s">
        <v>27</v>
      </c>
      <c r="I17" s="4" t="s">
        <v>9</v>
      </c>
      <c r="J17">
        <f t="shared" si="3"/>
        <v>3188646</v>
      </c>
      <c r="K17" s="1">
        <v>4.24</v>
      </c>
      <c r="L17" s="1">
        <f>71824/1024</f>
        <v>70.140625</v>
      </c>
      <c r="M17" s="1">
        <f t="shared" si="4"/>
        <v>4.6875E-2</v>
      </c>
      <c r="N17" s="4" t="s">
        <v>45</v>
      </c>
      <c r="O17" s="1"/>
      <c r="P17" s="1"/>
      <c r="R17">
        <f t="shared" si="5"/>
        <v>20726199</v>
      </c>
      <c r="S17" s="1">
        <v>3.03</v>
      </c>
      <c r="T17" s="1">
        <f>75964/1024</f>
        <v>74.18359375</v>
      </c>
      <c r="V17" s="4" t="s">
        <v>156</v>
      </c>
      <c r="AB17" s="1">
        <v>1028.67</v>
      </c>
      <c r="AC17" s="1">
        <f>105852/1024</f>
        <v>103.37109375</v>
      </c>
      <c r="AE17" s="4" t="s">
        <v>122</v>
      </c>
      <c r="AJ17">
        <f>14.04</f>
        <v>14.04</v>
      </c>
      <c r="AK17" s="1">
        <f>81576/1024</f>
        <v>79.6640625</v>
      </c>
      <c r="AM17" s="4" t="s">
        <v>160</v>
      </c>
    </row>
    <row r="18" spans="1:39" ht="45" x14ac:dyDescent="0.25">
      <c r="A18">
        <f t="shared" si="0"/>
        <v>14</v>
      </c>
      <c r="B18">
        <f t="shared" si="1"/>
        <v>6103515625</v>
      </c>
      <c r="C18" s="1">
        <v>242.33</v>
      </c>
      <c r="D18" s="1">
        <f>95048/1024</f>
        <v>92.8203125</v>
      </c>
      <c r="E18" s="1">
        <f t="shared" si="2"/>
        <v>4.24609375</v>
      </c>
      <c r="F18" s="4" t="s">
        <v>28</v>
      </c>
      <c r="I18" s="4" t="s">
        <v>9</v>
      </c>
      <c r="J18">
        <f t="shared" si="3"/>
        <v>9565938</v>
      </c>
      <c r="K18" s="1">
        <v>4.54</v>
      </c>
      <c r="L18" s="1">
        <f>71688/1024</f>
        <v>70.0078125</v>
      </c>
      <c r="M18" s="1">
        <f t="shared" si="4"/>
        <v>-0.1328125</v>
      </c>
      <c r="N18" s="4" t="s">
        <v>46</v>
      </c>
      <c r="O18" s="1"/>
      <c r="P18" s="1"/>
      <c r="R18">
        <f t="shared" si="5"/>
        <v>66961566</v>
      </c>
      <c r="S18" s="1">
        <v>3.13</v>
      </c>
      <c r="T18" s="1">
        <f>75968/1024</f>
        <v>74.1875</v>
      </c>
      <c r="V18" s="4" t="s">
        <v>157</v>
      </c>
      <c r="AB18" s="1">
        <v>1340.53</v>
      </c>
      <c r="AC18" s="1">
        <f>114528/1024</f>
        <v>111.84375</v>
      </c>
      <c r="AE18" s="4" t="s">
        <v>123</v>
      </c>
      <c r="AJ18">
        <f>14.96</f>
        <v>14.96</v>
      </c>
      <c r="AK18" s="1">
        <f>81220/1024</f>
        <v>79.31640625</v>
      </c>
      <c r="AM18" s="4" t="s">
        <v>161</v>
      </c>
    </row>
    <row r="19" spans="1:39" ht="45" x14ac:dyDescent="0.25">
      <c r="A19">
        <f t="shared" si="0"/>
        <v>15</v>
      </c>
      <c r="B19">
        <f t="shared" si="1"/>
        <v>30517578125</v>
      </c>
      <c r="C19" s="1">
        <f>309.2</f>
        <v>309.2</v>
      </c>
      <c r="D19" s="1">
        <f>98604/1024</f>
        <v>96.29296875</v>
      </c>
      <c r="E19" s="1">
        <f t="shared" si="2"/>
        <v>3.47265625</v>
      </c>
      <c r="F19" s="4" t="s">
        <v>30</v>
      </c>
      <c r="I19" s="4" t="s">
        <v>9</v>
      </c>
      <c r="J19">
        <f t="shared" si="3"/>
        <v>28697814</v>
      </c>
      <c r="K19" s="1">
        <v>4.45</v>
      </c>
      <c r="L19" s="1">
        <f>71744/1024</f>
        <v>70.0625</v>
      </c>
      <c r="M19" s="1">
        <f t="shared" si="4"/>
        <v>5.46875E-2</v>
      </c>
      <c r="N19" s="4" t="s">
        <v>47</v>
      </c>
      <c r="O19" s="1"/>
      <c r="P19" s="1"/>
      <c r="R19">
        <f t="shared" si="5"/>
        <v>215233605</v>
      </c>
      <c r="S19" s="1">
        <v>2.93</v>
      </c>
      <c r="T19" s="1">
        <f>76216/1024</f>
        <v>74.4296875</v>
      </c>
      <c r="V19" s="4" t="s">
        <v>96</v>
      </c>
      <c r="AB19" s="1">
        <v>1824.8</v>
      </c>
      <c r="AC19" s="1">
        <f>120604/1024</f>
        <v>117.77734375</v>
      </c>
      <c r="AE19" s="4" t="s">
        <v>124</v>
      </c>
      <c r="AJ19">
        <v>16.28</v>
      </c>
      <c r="AK19" s="1">
        <f>81740/1024</f>
        <v>79.82421875</v>
      </c>
      <c r="AM19" s="4" t="s">
        <v>149</v>
      </c>
    </row>
    <row r="20" spans="1:39" x14ac:dyDescent="0.25">
      <c r="A20">
        <f t="shared" si="0"/>
        <v>16</v>
      </c>
      <c r="B20">
        <f t="shared" si="1"/>
        <v>152587890625</v>
      </c>
      <c r="J20">
        <f t="shared" si="3"/>
        <v>86093442</v>
      </c>
      <c r="K20" s="1"/>
      <c r="M20" s="1"/>
      <c r="O20" s="1"/>
      <c r="P20" s="1"/>
      <c r="R20">
        <f t="shared" si="5"/>
        <v>688747536</v>
      </c>
    </row>
    <row r="21" spans="1:39" x14ac:dyDescent="0.25">
      <c r="A21">
        <f t="shared" si="0"/>
        <v>17</v>
      </c>
      <c r="B21">
        <f t="shared" si="1"/>
        <v>762939453125</v>
      </c>
      <c r="J21">
        <f t="shared" si="3"/>
        <v>258280326</v>
      </c>
      <c r="K21" s="1"/>
      <c r="M21" s="1"/>
      <c r="O21" s="1"/>
      <c r="P21" s="1"/>
      <c r="R21">
        <f t="shared" si="5"/>
        <v>2195382771</v>
      </c>
    </row>
    <row r="22" spans="1:39" x14ac:dyDescent="0.25">
      <c r="A22">
        <f t="shared" si="0"/>
        <v>18</v>
      </c>
      <c r="B22">
        <f t="shared" si="1"/>
        <v>3814697265625</v>
      </c>
      <c r="J22">
        <f t="shared" si="3"/>
        <v>774840978</v>
      </c>
      <c r="K22" s="1"/>
      <c r="M22" s="1"/>
      <c r="O22" s="1"/>
      <c r="P22" s="1"/>
      <c r="R22">
        <f t="shared" si="5"/>
        <v>6973568802</v>
      </c>
    </row>
    <row r="23" spans="1:39" x14ac:dyDescent="0.25">
      <c r="A23">
        <f t="shared" si="0"/>
        <v>19</v>
      </c>
      <c r="B23">
        <f t="shared" si="1"/>
        <v>19073486328125</v>
      </c>
      <c r="J23">
        <f t="shared" si="3"/>
        <v>2324522934</v>
      </c>
      <c r="K23" s="1"/>
      <c r="M23" s="1"/>
      <c r="O23" s="1"/>
      <c r="P23" s="1"/>
      <c r="R23">
        <f t="shared" si="5"/>
        <v>22082967873</v>
      </c>
    </row>
    <row r="24" spans="1:39" ht="45" x14ac:dyDescent="0.25">
      <c r="A24">
        <f t="shared" si="0"/>
        <v>20</v>
      </c>
      <c r="B24">
        <f t="shared" si="1"/>
        <v>95367431640625</v>
      </c>
      <c r="C24" s="1">
        <f>756.19</f>
        <v>756.19</v>
      </c>
      <c r="D24" s="1">
        <f>130076/1024</f>
        <v>127.02734375</v>
      </c>
      <c r="F24" s="4" t="s">
        <v>31</v>
      </c>
      <c r="J24">
        <f t="shared" si="3"/>
        <v>6973568802</v>
      </c>
      <c r="K24" s="1">
        <v>5.76</v>
      </c>
      <c r="L24" s="1">
        <f>71640/1024</f>
        <v>69.9609375</v>
      </c>
      <c r="M24" s="1"/>
      <c r="N24" s="4" t="s">
        <v>48</v>
      </c>
      <c r="O24" s="1"/>
      <c r="P24" s="1"/>
      <c r="R24">
        <f t="shared" si="5"/>
        <v>69735688020</v>
      </c>
      <c r="S24" s="1">
        <v>3.33</v>
      </c>
      <c r="T24" s="1">
        <f>76212/1024</f>
        <v>74.42578125</v>
      </c>
      <c r="V24" s="4" t="s">
        <v>97</v>
      </c>
      <c r="AB24" s="1">
        <v>8599.07</v>
      </c>
      <c r="AC24" s="1">
        <f>167004/1024</f>
        <v>163.08984375</v>
      </c>
      <c r="AE24" s="4" t="s">
        <v>125</v>
      </c>
      <c r="AJ24">
        <v>25.05</v>
      </c>
      <c r="AK24" s="1">
        <f>82172/1024</f>
        <v>80.24609375</v>
      </c>
      <c r="AM24" s="4" t="s">
        <v>150</v>
      </c>
    </row>
    <row r="25" spans="1:39" x14ac:dyDescent="0.25">
      <c r="A25">
        <f t="shared" si="0"/>
        <v>21</v>
      </c>
      <c r="B25">
        <f t="shared" si="1"/>
        <v>476837158203125</v>
      </c>
      <c r="J25">
        <f t="shared" si="3"/>
        <v>20920706406</v>
      </c>
      <c r="K25" s="1"/>
      <c r="M25" s="1"/>
      <c r="O25" s="1"/>
      <c r="P25" s="1"/>
      <c r="R25">
        <f t="shared" si="5"/>
        <v>219667417263</v>
      </c>
    </row>
    <row r="26" spans="1:39" x14ac:dyDescent="0.25">
      <c r="A26">
        <f t="shared" si="0"/>
        <v>22</v>
      </c>
      <c r="B26">
        <f t="shared" si="1"/>
        <v>2384185791015625</v>
      </c>
      <c r="J26">
        <f t="shared" si="3"/>
        <v>62762119218</v>
      </c>
      <c r="K26" s="1"/>
      <c r="M26" s="1"/>
      <c r="O26" s="1"/>
      <c r="P26" s="1"/>
      <c r="R26">
        <f t="shared" si="5"/>
        <v>690383311398</v>
      </c>
    </row>
    <row r="27" spans="1:39" x14ac:dyDescent="0.25">
      <c r="A27">
        <f t="shared" si="0"/>
        <v>23</v>
      </c>
      <c r="B27">
        <f t="shared" si="1"/>
        <v>1.1920928955078124E+16</v>
      </c>
      <c r="J27">
        <f t="shared" si="3"/>
        <v>188286357654</v>
      </c>
      <c r="K27" s="1"/>
      <c r="M27" s="1"/>
      <c r="O27" s="1"/>
      <c r="P27" s="1"/>
      <c r="R27">
        <f t="shared" si="5"/>
        <v>2165293113021</v>
      </c>
    </row>
    <row r="28" spans="1:39" x14ac:dyDescent="0.25">
      <c r="A28">
        <f t="shared" si="0"/>
        <v>24</v>
      </c>
      <c r="B28">
        <f t="shared" si="1"/>
        <v>5.9604644775390624E+16</v>
      </c>
      <c r="J28">
        <f t="shared" si="3"/>
        <v>564859072962</v>
      </c>
      <c r="K28" s="1"/>
      <c r="M28" s="1"/>
      <c r="O28" s="1"/>
      <c r="P28" s="1"/>
      <c r="R28">
        <f t="shared" si="5"/>
        <v>6778308875544</v>
      </c>
    </row>
    <row r="29" spans="1:39" ht="45" x14ac:dyDescent="0.25">
      <c r="A29">
        <f t="shared" si="0"/>
        <v>25</v>
      </c>
      <c r="B29">
        <f t="shared" si="1"/>
        <v>2.9802322387695315E+17</v>
      </c>
      <c r="C29" s="1">
        <v>1957.54</v>
      </c>
      <c r="D29" s="1">
        <f>175780/1024</f>
        <v>171.66015625</v>
      </c>
      <c r="F29" s="4" t="s">
        <v>32</v>
      </c>
      <c r="J29">
        <f t="shared" si="3"/>
        <v>1694577218886</v>
      </c>
      <c r="K29" s="1">
        <v>7.07</v>
      </c>
      <c r="L29" s="1">
        <f>71804/1024</f>
        <v>70.12109375</v>
      </c>
      <c r="M29" s="1"/>
      <c r="N29" s="4" t="s">
        <v>49</v>
      </c>
      <c r="O29" s="1"/>
      <c r="P29" s="1"/>
      <c r="R29">
        <f t="shared" si="5"/>
        <v>21182215236075</v>
      </c>
      <c r="S29" s="1">
        <v>3.04</v>
      </c>
      <c r="T29" s="1">
        <f>75968/1024</f>
        <v>74.1875</v>
      </c>
      <c r="V29" s="4" t="s">
        <v>153</v>
      </c>
      <c r="AJ29">
        <v>32.549999999999997</v>
      </c>
      <c r="AK29" s="1">
        <f>82684/1024</f>
        <v>80.74609375</v>
      </c>
      <c r="AM29" s="4" t="s">
        <v>151</v>
      </c>
    </row>
    <row r="30" spans="1:39" x14ac:dyDescent="0.25">
      <c r="A30">
        <f t="shared" si="0"/>
        <v>26</v>
      </c>
      <c r="B30">
        <f t="shared" si="1"/>
        <v>1.4901161193847657E+18</v>
      </c>
      <c r="J30">
        <f t="shared" si="3"/>
        <v>5083731656658</v>
      </c>
      <c r="K30" s="1"/>
      <c r="M30" s="1"/>
      <c r="O30" s="1"/>
      <c r="P30" s="1"/>
      <c r="R30">
        <f t="shared" si="5"/>
        <v>66088511536554</v>
      </c>
    </row>
    <row r="31" spans="1:39" x14ac:dyDescent="0.25">
      <c r="A31">
        <f t="shared" si="0"/>
        <v>27</v>
      </c>
      <c r="B31">
        <f t="shared" si="1"/>
        <v>7.4505805969238282E+18</v>
      </c>
      <c r="J31">
        <f t="shared" si="3"/>
        <v>15251194969974</v>
      </c>
      <c r="K31" s="1"/>
      <c r="M31" s="1"/>
      <c r="O31" s="1"/>
      <c r="P31" s="1"/>
      <c r="R31">
        <f t="shared" si="5"/>
        <v>205891132094649</v>
      </c>
    </row>
    <row r="32" spans="1:39" x14ac:dyDescent="0.25">
      <c r="A32">
        <f t="shared" si="0"/>
        <v>28</v>
      </c>
      <c r="B32">
        <f t="shared" si="1"/>
        <v>3.7252902984619139E+19</v>
      </c>
      <c r="J32">
        <f t="shared" si="3"/>
        <v>45753584909922</v>
      </c>
      <c r="K32" s="1"/>
      <c r="M32" s="1"/>
      <c r="O32" s="1"/>
      <c r="P32" s="1"/>
      <c r="R32">
        <f t="shared" si="5"/>
        <v>640550188738908</v>
      </c>
    </row>
    <row r="33" spans="1:39" x14ac:dyDescent="0.25">
      <c r="A33">
        <f t="shared" si="0"/>
        <v>29</v>
      </c>
      <c r="B33">
        <f t="shared" si="1"/>
        <v>1.8626451492309569E+20</v>
      </c>
      <c r="J33">
        <f t="shared" si="3"/>
        <v>137260754729766</v>
      </c>
      <c r="K33" s="1"/>
      <c r="M33" s="1"/>
      <c r="O33" s="1"/>
      <c r="P33" s="1"/>
      <c r="R33">
        <f t="shared" si="5"/>
        <v>1990280943581607</v>
      </c>
    </row>
    <row r="34" spans="1:39" ht="45" x14ac:dyDescent="0.25">
      <c r="A34">
        <f t="shared" si="0"/>
        <v>30</v>
      </c>
      <c r="B34">
        <f t="shared" si="1"/>
        <v>9.3132257461547853E+20</v>
      </c>
      <c r="C34" s="1">
        <v>3884.74</v>
      </c>
      <c r="D34" s="1">
        <f>228404/1024</f>
        <v>223.05078125</v>
      </c>
      <c r="F34" s="4" t="s">
        <v>33</v>
      </c>
      <c r="J34">
        <f t="shared" si="3"/>
        <v>411782264189298</v>
      </c>
      <c r="K34" s="1">
        <v>7.97</v>
      </c>
      <c r="L34" s="1">
        <f>71824/1024</f>
        <v>70.140625</v>
      </c>
      <c r="M34" s="1"/>
      <c r="N34" s="4" t="s">
        <v>50</v>
      </c>
      <c r="O34" s="1"/>
      <c r="P34" s="1"/>
      <c r="R34">
        <f t="shared" si="5"/>
        <v>6176733962839470</v>
      </c>
      <c r="S34" s="1">
        <v>2.93</v>
      </c>
      <c r="T34" s="1">
        <f>75972/1024</f>
        <v>74.19140625</v>
      </c>
      <c r="V34" s="4" t="s">
        <v>98</v>
      </c>
      <c r="AJ34">
        <v>32.520000000000003</v>
      </c>
      <c r="AK34" s="1">
        <f>82824/1024</f>
        <v>80.8828125</v>
      </c>
      <c r="AM34" s="4" t="s">
        <v>152</v>
      </c>
    </row>
    <row r="35" spans="1:39" x14ac:dyDescent="0.25">
      <c r="A35">
        <f t="shared" si="0"/>
        <v>31</v>
      </c>
      <c r="D35" s="1">
        <f t="shared" ref="D35:D98" si="6">0.2223*POWER(A35,2) - 1.767*A35 + 75.414</f>
        <v>234.26730000000003</v>
      </c>
      <c r="E35" s="1" t="s">
        <v>68</v>
      </c>
      <c r="J35">
        <f t="shared" si="3"/>
        <v>1235346792567894</v>
      </c>
      <c r="K35" s="1"/>
      <c r="M35" s="1"/>
      <c r="O35" s="1"/>
      <c r="P35" s="1"/>
      <c r="R35">
        <f t="shared" si="5"/>
        <v>1.9147875284802356E+16</v>
      </c>
    </row>
    <row r="36" spans="1:39" x14ac:dyDescent="0.25">
      <c r="A36">
        <f t="shared" si="0"/>
        <v>32</v>
      </c>
      <c r="D36" s="1">
        <f t="shared" si="6"/>
        <v>246.5052</v>
      </c>
      <c r="J36">
        <f t="shared" si="3"/>
        <v>3706040377703682</v>
      </c>
      <c r="R36">
        <f t="shared" si="5"/>
        <v>5.9296646043258912E+16</v>
      </c>
    </row>
    <row r="37" spans="1:39" x14ac:dyDescent="0.25">
      <c r="A37">
        <f t="shared" si="0"/>
        <v>33</v>
      </c>
      <c r="D37" s="1">
        <f t="shared" si="6"/>
        <v>259.18770000000001</v>
      </c>
      <c r="J37">
        <f t="shared" si="3"/>
        <v>1.1118121133111046E+16</v>
      </c>
      <c r="R37">
        <f t="shared" si="5"/>
        <v>1.8344899869633226E+17</v>
      </c>
    </row>
    <row r="38" spans="1:39" x14ac:dyDescent="0.25">
      <c r="A38">
        <f t="shared" si="0"/>
        <v>34</v>
      </c>
      <c r="D38" s="1">
        <f t="shared" si="6"/>
        <v>272.31479999999999</v>
      </c>
      <c r="J38">
        <f t="shared" si="3"/>
        <v>3.3354363399333136E+16</v>
      </c>
      <c r="R38">
        <f t="shared" si="5"/>
        <v>5.670241777886633E+17</v>
      </c>
    </row>
    <row r="39" spans="1:39" ht="45" x14ac:dyDescent="0.25">
      <c r="A39">
        <f t="shared" si="0"/>
        <v>35</v>
      </c>
      <c r="D39" s="1">
        <f t="shared" si="6"/>
        <v>285.88650000000001</v>
      </c>
      <c r="J39">
        <f t="shared" si="3"/>
        <v>1.0006309019799941E+17</v>
      </c>
      <c r="K39">
        <v>9.19</v>
      </c>
      <c r="L39" s="1">
        <f>72440/1024</f>
        <v>70.7421875</v>
      </c>
      <c r="N39" s="4" t="s">
        <v>62</v>
      </c>
    </row>
    <row r="40" spans="1:39" x14ac:dyDescent="0.25">
      <c r="A40">
        <f t="shared" si="0"/>
        <v>36</v>
      </c>
      <c r="D40" s="1">
        <f t="shared" si="6"/>
        <v>299.90280000000001</v>
      </c>
      <c r="J40">
        <f t="shared" si="3"/>
        <v>3.0018927059399827E+17</v>
      </c>
    </row>
    <row r="41" spans="1:39" x14ac:dyDescent="0.25">
      <c r="A41">
        <f t="shared" si="0"/>
        <v>37</v>
      </c>
      <c r="D41" s="1">
        <f t="shared" si="6"/>
        <v>314.36369999999999</v>
      </c>
      <c r="J41">
        <f t="shared" si="3"/>
        <v>9.0056781178199475E+17</v>
      </c>
    </row>
    <row r="42" spans="1:39" x14ac:dyDescent="0.25">
      <c r="A42">
        <f t="shared" si="0"/>
        <v>38</v>
      </c>
      <c r="D42" s="1">
        <f t="shared" si="6"/>
        <v>329.26919999999996</v>
      </c>
      <c r="J42">
        <f t="shared" si="3"/>
        <v>2.701703435345984E+18</v>
      </c>
    </row>
    <row r="43" spans="1:39" x14ac:dyDescent="0.25">
      <c r="A43">
        <f t="shared" si="0"/>
        <v>39</v>
      </c>
      <c r="D43" s="1">
        <f t="shared" si="6"/>
        <v>344.61929999999995</v>
      </c>
      <c r="J43">
        <f t="shared" si="3"/>
        <v>8.1051103060379525E+18</v>
      </c>
    </row>
    <row r="44" spans="1:39" ht="45" x14ac:dyDescent="0.25">
      <c r="A44">
        <f t="shared" si="0"/>
        <v>40</v>
      </c>
      <c r="D44" s="1">
        <f t="shared" si="6"/>
        <v>360.41399999999999</v>
      </c>
      <c r="J44">
        <f t="shared" si="3"/>
        <v>2.4315330918113858E+19</v>
      </c>
      <c r="K44">
        <v>10.17</v>
      </c>
      <c r="L44" s="1">
        <f>72024/1024</f>
        <v>70.3359375</v>
      </c>
      <c r="N44" s="4" t="s">
        <v>63</v>
      </c>
      <c r="S44" s="1">
        <v>2.93</v>
      </c>
      <c r="T44" s="1">
        <f>76224/1024</f>
        <v>74.4375</v>
      </c>
      <c r="V44" s="4" t="s">
        <v>99</v>
      </c>
    </row>
    <row r="45" spans="1:39" x14ac:dyDescent="0.25">
      <c r="A45">
        <f t="shared" si="0"/>
        <v>41</v>
      </c>
      <c r="D45" s="1">
        <f t="shared" si="6"/>
        <v>376.6533</v>
      </c>
      <c r="J45">
        <f t="shared" si="3"/>
        <v>7.2945992754341577E+19</v>
      </c>
    </row>
    <row r="46" spans="1:39" x14ac:dyDescent="0.25">
      <c r="A46">
        <f t="shared" si="0"/>
        <v>42</v>
      </c>
      <c r="D46" s="1">
        <f t="shared" si="6"/>
        <v>393.3372</v>
      </c>
      <c r="J46">
        <f t="shared" si="3"/>
        <v>2.1883797826302473E+20</v>
      </c>
    </row>
    <row r="47" spans="1:39" x14ac:dyDescent="0.25">
      <c r="A47">
        <f t="shared" si="0"/>
        <v>43</v>
      </c>
      <c r="D47" s="1">
        <f t="shared" si="6"/>
        <v>410.46569999999997</v>
      </c>
      <c r="J47">
        <f t="shared" si="3"/>
        <v>6.5651393478907409E+20</v>
      </c>
    </row>
    <row r="48" spans="1:39" x14ac:dyDescent="0.25">
      <c r="A48">
        <f t="shared" si="0"/>
        <v>44</v>
      </c>
      <c r="D48" s="1">
        <f t="shared" si="6"/>
        <v>428.03879999999998</v>
      </c>
      <c r="J48">
        <f t="shared" si="3"/>
        <v>1.9695418043672224E+21</v>
      </c>
    </row>
    <row r="49" spans="1:22" ht="45" x14ac:dyDescent="0.25">
      <c r="A49">
        <f t="shared" si="0"/>
        <v>45</v>
      </c>
      <c r="D49" s="1">
        <f t="shared" si="6"/>
        <v>446.05649999999997</v>
      </c>
      <c r="J49">
        <f t="shared" si="3"/>
        <v>5.9086254131016672E+21</v>
      </c>
      <c r="K49">
        <v>11.61</v>
      </c>
      <c r="L49" s="1">
        <f>72636/1024</f>
        <v>70.93359375</v>
      </c>
      <c r="N49" s="4" t="s">
        <v>64</v>
      </c>
    </row>
    <row r="50" spans="1:22" x14ac:dyDescent="0.25">
      <c r="A50">
        <f t="shared" si="0"/>
        <v>46</v>
      </c>
      <c r="D50" s="1">
        <f t="shared" si="6"/>
        <v>464.5188</v>
      </c>
      <c r="J50">
        <f t="shared" si="3"/>
        <v>1.7725876239305003E+22</v>
      </c>
    </row>
    <row r="51" spans="1:22" x14ac:dyDescent="0.25">
      <c r="A51">
        <f t="shared" si="0"/>
        <v>47</v>
      </c>
      <c r="D51" s="1">
        <f t="shared" si="6"/>
        <v>483.42570000000001</v>
      </c>
      <c r="J51">
        <f t="shared" si="3"/>
        <v>5.3177628717915004E+22</v>
      </c>
    </row>
    <row r="52" spans="1:22" x14ac:dyDescent="0.25">
      <c r="A52">
        <f t="shared" si="0"/>
        <v>48</v>
      </c>
      <c r="D52" s="1">
        <f t="shared" si="6"/>
        <v>502.77719999999999</v>
      </c>
      <c r="J52">
        <f t="shared" si="3"/>
        <v>1.5953288615374503E+23</v>
      </c>
    </row>
    <row r="53" spans="1:22" x14ac:dyDescent="0.25">
      <c r="A53">
        <f t="shared" si="0"/>
        <v>49</v>
      </c>
      <c r="D53" s="1">
        <f t="shared" si="6"/>
        <v>522.57330000000002</v>
      </c>
      <c r="J53">
        <f t="shared" si="3"/>
        <v>4.7859865846123505E+23</v>
      </c>
    </row>
    <row r="54" spans="1:22" ht="45" x14ac:dyDescent="0.25">
      <c r="A54">
        <f t="shared" si="0"/>
        <v>50</v>
      </c>
      <c r="D54" s="1">
        <f t="shared" si="6"/>
        <v>542.81399999999996</v>
      </c>
      <c r="J54">
        <f t="shared" si="3"/>
        <v>1.4357959753837052E+24</v>
      </c>
      <c r="K54">
        <v>12.92</v>
      </c>
      <c r="L54" s="1">
        <f>72740/1024</f>
        <v>71.03515625</v>
      </c>
      <c r="N54" s="4" t="s">
        <v>65</v>
      </c>
      <c r="S54" s="1">
        <v>2.93</v>
      </c>
      <c r="T54" s="1">
        <f>76184/1024</f>
        <v>74.3984375</v>
      </c>
      <c r="V54" s="4" t="s">
        <v>100</v>
      </c>
    </row>
    <row r="55" spans="1:22" x14ac:dyDescent="0.25">
      <c r="A55">
        <f t="shared" si="0"/>
        <v>51</v>
      </c>
      <c r="D55" s="1">
        <f t="shared" si="6"/>
        <v>563.49930000000006</v>
      </c>
    </row>
    <row r="56" spans="1:22" x14ac:dyDescent="0.25">
      <c r="A56">
        <f t="shared" si="0"/>
        <v>52</v>
      </c>
      <c r="D56" s="1">
        <f t="shared" si="6"/>
        <v>584.62919999999997</v>
      </c>
    </row>
    <row r="57" spans="1:22" x14ac:dyDescent="0.25">
      <c r="A57">
        <f t="shared" si="0"/>
        <v>53</v>
      </c>
      <c r="D57" s="1">
        <f t="shared" si="6"/>
        <v>606.20370000000003</v>
      </c>
    </row>
    <row r="58" spans="1:22" x14ac:dyDescent="0.25">
      <c r="A58">
        <f t="shared" si="0"/>
        <v>54</v>
      </c>
      <c r="D58" s="1">
        <f t="shared" si="6"/>
        <v>628.22280000000001</v>
      </c>
    </row>
    <row r="59" spans="1:22" x14ac:dyDescent="0.25">
      <c r="A59">
        <f t="shared" si="0"/>
        <v>55</v>
      </c>
      <c r="D59" s="1">
        <f t="shared" si="6"/>
        <v>650.68650000000002</v>
      </c>
    </row>
    <row r="60" spans="1:22" x14ac:dyDescent="0.25">
      <c r="A60">
        <f t="shared" si="0"/>
        <v>56</v>
      </c>
      <c r="D60" s="1">
        <f t="shared" si="6"/>
        <v>673.59479999999996</v>
      </c>
    </row>
    <row r="61" spans="1:22" x14ac:dyDescent="0.25">
      <c r="A61">
        <f t="shared" si="0"/>
        <v>57</v>
      </c>
      <c r="D61" s="1">
        <f t="shared" si="6"/>
        <v>696.94769999999994</v>
      </c>
    </row>
    <row r="62" spans="1:22" x14ac:dyDescent="0.25">
      <c r="A62">
        <f t="shared" si="0"/>
        <v>58</v>
      </c>
      <c r="D62" s="1">
        <f t="shared" si="6"/>
        <v>720.74519999999995</v>
      </c>
    </row>
    <row r="63" spans="1:22" x14ac:dyDescent="0.25">
      <c r="A63">
        <f t="shared" si="0"/>
        <v>59</v>
      </c>
      <c r="D63" s="1">
        <f t="shared" si="6"/>
        <v>744.98729999999989</v>
      </c>
    </row>
    <row r="64" spans="1:22" x14ac:dyDescent="0.25">
      <c r="A64">
        <f t="shared" si="0"/>
        <v>60</v>
      </c>
      <c r="D64" s="1">
        <f t="shared" si="6"/>
        <v>769.67399999999998</v>
      </c>
    </row>
    <row r="65" spans="1:14" x14ac:dyDescent="0.25">
      <c r="A65">
        <f t="shared" si="0"/>
        <v>61</v>
      </c>
      <c r="D65" s="1">
        <f t="shared" si="6"/>
        <v>794.80529999999999</v>
      </c>
    </row>
    <row r="66" spans="1:14" x14ac:dyDescent="0.25">
      <c r="A66">
        <f t="shared" si="0"/>
        <v>62</v>
      </c>
      <c r="D66" s="1">
        <f t="shared" si="6"/>
        <v>820.38120000000004</v>
      </c>
    </row>
    <row r="67" spans="1:14" x14ac:dyDescent="0.25">
      <c r="A67">
        <f t="shared" si="0"/>
        <v>63</v>
      </c>
      <c r="D67" s="1">
        <f t="shared" si="6"/>
        <v>846.40170000000001</v>
      </c>
    </row>
    <row r="68" spans="1:14" x14ac:dyDescent="0.25">
      <c r="A68">
        <f t="shared" si="0"/>
        <v>64</v>
      </c>
      <c r="D68" s="1">
        <f t="shared" si="6"/>
        <v>872.86680000000001</v>
      </c>
    </row>
    <row r="69" spans="1:14" x14ac:dyDescent="0.25">
      <c r="A69">
        <f t="shared" si="0"/>
        <v>65</v>
      </c>
      <c r="D69" s="1">
        <f t="shared" si="6"/>
        <v>899.77649999999994</v>
      </c>
    </row>
    <row r="70" spans="1:14" x14ac:dyDescent="0.25">
      <c r="A70">
        <f t="shared" ref="A70:A133" si="7">ROW()-4</f>
        <v>66</v>
      </c>
      <c r="D70" s="1">
        <f t="shared" si="6"/>
        <v>927.13080000000002</v>
      </c>
    </row>
    <row r="71" spans="1:14" x14ac:dyDescent="0.25">
      <c r="A71">
        <f t="shared" si="7"/>
        <v>67</v>
      </c>
      <c r="D71" s="1">
        <f t="shared" si="6"/>
        <v>954.92969999999991</v>
      </c>
    </row>
    <row r="72" spans="1:14" x14ac:dyDescent="0.25">
      <c r="A72">
        <f t="shared" si="7"/>
        <v>68</v>
      </c>
      <c r="D72" s="1">
        <f t="shared" si="6"/>
        <v>983.17319999999995</v>
      </c>
    </row>
    <row r="73" spans="1:14" x14ac:dyDescent="0.25">
      <c r="A73">
        <f t="shared" si="7"/>
        <v>69</v>
      </c>
      <c r="D73" s="1">
        <f t="shared" si="6"/>
        <v>1011.8613</v>
      </c>
    </row>
    <row r="74" spans="1:14" x14ac:dyDescent="0.25">
      <c r="A74">
        <f t="shared" si="7"/>
        <v>70</v>
      </c>
      <c r="D74" s="1">
        <f t="shared" si="6"/>
        <v>1040.9939999999999</v>
      </c>
    </row>
    <row r="75" spans="1:14" x14ac:dyDescent="0.25">
      <c r="A75">
        <f t="shared" si="7"/>
        <v>71</v>
      </c>
      <c r="D75" s="1">
        <f t="shared" si="6"/>
        <v>1070.5713000000001</v>
      </c>
    </row>
    <row r="76" spans="1:14" x14ac:dyDescent="0.25">
      <c r="A76">
        <f t="shared" si="7"/>
        <v>72</v>
      </c>
      <c r="D76" s="1">
        <f t="shared" si="6"/>
        <v>1100.5932</v>
      </c>
    </row>
    <row r="77" spans="1:14" x14ac:dyDescent="0.25">
      <c r="A77">
        <f t="shared" si="7"/>
        <v>73</v>
      </c>
      <c r="D77" s="1">
        <f t="shared" si="6"/>
        <v>1131.0597</v>
      </c>
    </row>
    <row r="78" spans="1:14" x14ac:dyDescent="0.25">
      <c r="A78">
        <f t="shared" si="7"/>
        <v>74</v>
      </c>
      <c r="D78" s="1">
        <f t="shared" si="6"/>
        <v>1161.9707999999998</v>
      </c>
    </row>
    <row r="79" spans="1:14" ht="45" x14ac:dyDescent="0.25">
      <c r="A79">
        <f t="shared" si="7"/>
        <v>75</v>
      </c>
      <c r="D79" s="1">
        <f t="shared" si="6"/>
        <v>1193.3264999999999</v>
      </c>
      <c r="K79">
        <v>20.99</v>
      </c>
      <c r="L79" s="1">
        <f>73096/1024</f>
        <v>71.3828125</v>
      </c>
      <c r="N79" s="4" t="s">
        <v>66</v>
      </c>
    </row>
    <row r="80" spans="1:14" x14ac:dyDescent="0.25">
      <c r="A80">
        <f t="shared" si="7"/>
        <v>76</v>
      </c>
      <c r="D80" s="1">
        <f t="shared" si="6"/>
        <v>1225.1268</v>
      </c>
    </row>
    <row r="81" spans="1:4" x14ac:dyDescent="0.25">
      <c r="A81">
        <f t="shared" si="7"/>
        <v>77</v>
      </c>
      <c r="D81" s="1">
        <f t="shared" si="6"/>
        <v>1257.3716999999999</v>
      </c>
    </row>
    <row r="82" spans="1:4" x14ac:dyDescent="0.25">
      <c r="A82">
        <f t="shared" si="7"/>
        <v>78</v>
      </c>
      <c r="D82" s="1">
        <f t="shared" si="6"/>
        <v>1290.0611999999999</v>
      </c>
    </row>
    <row r="83" spans="1:4" x14ac:dyDescent="0.25">
      <c r="A83">
        <f t="shared" si="7"/>
        <v>79</v>
      </c>
      <c r="D83" s="1">
        <f t="shared" si="6"/>
        <v>1323.1952999999999</v>
      </c>
    </row>
    <row r="84" spans="1:4" x14ac:dyDescent="0.25">
      <c r="A84">
        <f t="shared" si="7"/>
        <v>80</v>
      </c>
      <c r="D84" s="1">
        <f t="shared" si="6"/>
        <v>1356.7740000000001</v>
      </c>
    </row>
    <row r="85" spans="1:4" x14ac:dyDescent="0.25">
      <c r="A85">
        <f t="shared" si="7"/>
        <v>81</v>
      </c>
      <c r="D85" s="1">
        <f t="shared" si="6"/>
        <v>1390.7973</v>
      </c>
    </row>
    <row r="86" spans="1:4" x14ac:dyDescent="0.25">
      <c r="A86">
        <f t="shared" si="7"/>
        <v>82</v>
      </c>
      <c r="D86" s="1">
        <f t="shared" si="6"/>
        <v>1425.2652</v>
      </c>
    </row>
    <row r="87" spans="1:4" x14ac:dyDescent="0.25">
      <c r="A87">
        <f t="shared" si="7"/>
        <v>83</v>
      </c>
      <c r="D87" s="1">
        <f t="shared" si="6"/>
        <v>1460.1777</v>
      </c>
    </row>
    <row r="88" spans="1:4" x14ac:dyDescent="0.25">
      <c r="A88">
        <f t="shared" si="7"/>
        <v>84</v>
      </c>
      <c r="D88" s="1">
        <f t="shared" si="6"/>
        <v>1495.5348000000001</v>
      </c>
    </row>
    <row r="89" spans="1:4" x14ac:dyDescent="0.25">
      <c r="A89">
        <f t="shared" si="7"/>
        <v>85</v>
      </c>
      <c r="D89" s="1">
        <f t="shared" si="6"/>
        <v>1531.3365000000001</v>
      </c>
    </row>
    <row r="90" spans="1:4" x14ac:dyDescent="0.25">
      <c r="A90">
        <f t="shared" si="7"/>
        <v>86</v>
      </c>
      <c r="D90" s="1">
        <f t="shared" si="6"/>
        <v>1567.5827999999999</v>
      </c>
    </row>
    <row r="91" spans="1:4" x14ac:dyDescent="0.25">
      <c r="A91">
        <f t="shared" si="7"/>
        <v>87</v>
      </c>
      <c r="D91" s="1">
        <f t="shared" si="6"/>
        <v>1604.2737</v>
      </c>
    </row>
    <row r="92" spans="1:4" x14ac:dyDescent="0.25">
      <c r="A92">
        <f t="shared" si="7"/>
        <v>88</v>
      </c>
      <c r="D92" s="1">
        <f t="shared" si="6"/>
        <v>1641.4091999999998</v>
      </c>
    </row>
    <row r="93" spans="1:4" x14ac:dyDescent="0.25">
      <c r="A93">
        <f t="shared" si="7"/>
        <v>89</v>
      </c>
      <c r="D93" s="1">
        <f t="shared" si="6"/>
        <v>1678.9893</v>
      </c>
    </row>
    <row r="94" spans="1:4" x14ac:dyDescent="0.25">
      <c r="A94">
        <f t="shared" si="7"/>
        <v>90</v>
      </c>
      <c r="D94" s="1">
        <f t="shared" si="6"/>
        <v>1717.0139999999999</v>
      </c>
    </row>
    <row r="95" spans="1:4" x14ac:dyDescent="0.25">
      <c r="A95">
        <f t="shared" si="7"/>
        <v>91</v>
      </c>
      <c r="D95" s="1">
        <f t="shared" si="6"/>
        <v>1755.4832999999999</v>
      </c>
    </row>
    <row r="96" spans="1:4" x14ac:dyDescent="0.25">
      <c r="A96">
        <f t="shared" si="7"/>
        <v>92</v>
      </c>
      <c r="D96" s="1">
        <f t="shared" si="6"/>
        <v>1794.3971999999999</v>
      </c>
    </row>
    <row r="97" spans="1:22" x14ac:dyDescent="0.25">
      <c r="A97">
        <f t="shared" si="7"/>
        <v>93</v>
      </c>
      <c r="D97" s="1">
        <f t="shared" si="6"/>
        <v>1833.7557000000002</v>
      </c>
    </row>
    <row r="98" spans="1:22" x14ac:dyDescent="0.25">
      <c r="A98">
        <f t="shared" si="7"/>
        <v>94</v>
      </c>
      <c r="D98" s="1">
        <f t="shared" si="6"/>
        <v>1873.5588</v>
      </c>
    </row>
    <row r="99" spans="1:22" x14ac:dyDescent="0.25">
      <c r="A99">
        <f t="shared" si="7"/>
        <v>95</v>
      </c>
      <c r="D99" s="1">
        <f t="shared" ref="D99:D103" si="8">0.2223*POWER(A99,2) - 1.767*A99 + 75.414</f>
        <v>1913.8064999999999</v>
      </c>
    </row>
    <row r="100" spans="1:22" x14ac:dyDescent="0.25">
      <c r="A100">
        <f t="shared" si="7"/>
        <v>96</v>
      </c>
      <c r="D100" s="1">
        <f t="shared" si="8"/>
        <v>1954.4988000000001</v>
      </c>
    </row>
    <row r="101" spans="1:22" x14ac:dyDescent="0.25">
      <c r="A101">
        <f t="shared" si="7"/>
        <v>97</v>
      </c>
      <c r="D101" s="1">
        <f t="shared" si="8"/>
        <v>1995.6357</v>
      </c>
    </row>
    <row r="102" spans="1:22" x14ac:dyDescent="0.25">
      <c r="A102">
        <f t="shared" si="7"/>
        <v>98</v>
      </c>
      <c r="D102" s="1">
        <f t="shared" si="8"/>
        <v>2037.2172</v>
      </c>
    </row>
    <row r="103" spans="1:22" x14ac:dyDescent="0.25">
      <c r="A103">
        <f t="shared" si="7"/>
        <v>99</v>
      </c>
      <c r="D103" s="1">
        <f t="shared" si="8"/>
        <v>2079.2433000000001</v>
      </c>
    </row>
    <row r="104" spans="1:22" ht="45" x14ac:dyDescent="0.25">
      <c r="A104">
        <f t="shared" si="7"/>
        <v>100</v>
      </c>
      <c r="D104" s="1">
        <f>0.2223*POWER(A104,2) - 1.767*A104 + 75.414</f>
        <v>2121.7139999999999</v>
      </c>
      <c r="K104">
        <v>31.62</v>
      </c>
      <c r="L104" s="1">
        <f>73616/1024</f>
        <v>71.890625</v>
      </c>
      <c r="N104" s="4" t="s">
        <v>67</v>
      </c>
      <c r="S104" s="1">
        <v>3.03</v>
      </c>
      <c r="T104" s="1">
        <f>75968/1024</f>
        <v>74.1875</v>
      </c>
      <c r="V104" s="4" t="s">
        <v>101</v>
      </c>
    </row>
    <row r="105" spans="1:22" x14ac:dyDescent="0.25">
      <c r="A105">
        <f t="shared" si="7"/>
        <v>101</v>
      </c>
    </row>
    <row r="106" spans="1:22" x14ac:dyDescent="0.25">
      <c r="A106">
        <f t="shared" si="7"/>
        <v>102</v>
      </c>
    </row>
    <row r="107" spans="1:22" x14ac:dyDescent="0.25">
      <c r="A107">
        <f t="shared" si="7"/>
        <v>103</v>
      </c>
    </row>
    <row r="108" spans="1:22" x14ac:dyDescent="0.25">
      <c r="A108">
        <f t="shared" si="7"/>
        <v>104</v>
      </c>
    </row>
    <row r="109" spans="1:22" x14ac:dyDescent="0.25">
      <c r="A109">
        <f t="shared" si="7"/>
        <v>105</v>
      </c>
    </row>
    <row r="110" spans="1:22" x14ac:dyDescent="0.25">
      <c r="A110">
        <f t="shared" si="7"/>
        <v>106</v>
      </c>
    </row>
    <row r="111" spans="1:22" x14ac:dyDescent="0.25">
      <c r="A111">
        <f t="shared" si="7"/>
        <v>107</v>
      </c>
    </row>
    <row r="112" spans="1:22" x14ac:dyDescent="0.25">
      <c r="A112">
        <f t="shared" si="7"/>
        <v>108</v>
      </c>
    </row>
    <row r="113" spans="1:1" x14ac:dyDescent="0.25">
      <c r="A113">
        <f t="shared" si="7"/>
        <v>109</v>
      </c>
    </row>
    <row r="114" spans="1:1" x14ac:dyDescent="0.25">
      <c r="A114">
        <f t="shared" si="7"/>
        <v>110</v>
      </c>
    </row>
    <row r="115" spans="1:1" x14ac:dyDescent="0.25">
      <c r="A115">
        <f t="shared" si="7"/>
        <v>111</v>
      </c>
    </row>
    <row r="116" spans="1:1" x14ac:dyDescent="0.25">
      <c r="A116">
        <f t="shared" si="7"/>
        <v>112</v>
      </c>
    </row>
    <row r="117" spans="1:1" x14ac:dyDescent="0.25">
      <c r="A117">
        <f t="shared" si="7"/>
        <v>113</v>
      </c>
    </row>
    <row r="118" spans="1:1" x14ac:dyDescent="0.25">
      <c r="A118">
        <f t="shared" si="7"/>
        <v>114</v>
      </c>
    </row>
    <row r="119" spans="1:1" x14ac:dyDescent="0.25">
      <c r="A119">
        <f t="shared" si="7"/>
        <v>115</v>
      </c>
    </row>
    <row r="120" spans="1:1" x14ac:dyDescent="0.25">
      <c r="A120">
        <f t="shared" si="7"/>
        <v>116</v>
      </c>
    </row>
    <row r="121" spans="1:1" x14ac:dyDescent="0.25">
      <c r="A121">
        <f t="shared" si="7"/>
        <v>117</v>
      </c>
    </row>
    <row r="122" spans="1:1" x14ac:dyDescent="0.25">
      <c r="A122">
        <f t="shared" si="7"/>
        <v>118</v>
      </c>
    </row>
    <row r="123" spans="1:1" x14ac:dyDescent="0.25">
      <c r="A123">
        <f t="shared" si="7"/>
        <v>119</v>
      </c>
    </row>
    <row r="124" spans="1:1" x14ac:dyDescent="0.25">
      <c r="A124">
        <f t="shared" si="7"/>
        <v>120</v>
      </c>
    </row>
    <row r="125" spans="1:1" x14ac:dyDescent="0.25">
      <c r="A125">
        <f t="shared" si="7"/>
        <v>121</v>
      </c>
    </row>
    <row r="126" spans="1:1" x14ac:dyDescent="0.25">
      <c r="A126">
        <f t="shared" si="7"/>
        <v>122</v>
      </c>
    </row>
    <row r="127" spans="1:1" x14ac:dyDescent="0.25">
      <c r="A127">
        <f t="shared" si="7"/>
        <v>123</v>
      </c>
    </row>
    <row r="128" spans="1:1" x14ac:dyDescent="0.25">
      <c r="A128">
        <f t="shared" si="7"/>
        <v>124</v>
      </c>
    </row>
    <row r="129" spans="1:14" ht="45" x14ac:dyDescent="0.25">
      <c r="A129">
        <f t="shared" si="7"/>
        <v>125</v>
      </c>
      <c r="K129">
        <v>37.17</v>
      </c>
      <c r="L129" s="1">
        <f>74156/1024</f>
        <v>72.41796875</v>
      </c>
      <c r="N129" s="4" t="s">
        <v>69</v>
      </c>
    </row>
    <row r="130" spans="1:14" x14ac:dyDescent="0.25">
      <c r="A130">
        <f t="shared" si="7"/>
        <v>126</v>
      </c>
    </row>
    <row r="131" spans="1:14" x14ac:dyDescent="0.25">
      <c r="A131">
        <f t="shared" si="7"/>
        <v>127</v>
      </c>
    </row>
    <row r="132" spans="1:14" x14ac:dyDescent="0.25">
      <c r="A132">
        <f t="shared" si="7"/>
        <v>128</v>
      </c>
    </row>
    <row r="133" spans="1:14" x14ac:dyDescent="0.25">
      <c r="A133">
        <f t="shared" si="7"/>
        <v>129</v>
      </c>
    </row>
    <row r="134" spans="1:14" x14ac:dyDescent="0.25">
      <c r="A134">
        <f t="shared" ref="A134:A197" si="9">ROW()-4</f>
        <v>130</v>
      </c>
    </row>
    <row r="135" spans="1:14" x14ac:dyDescent="0.25">
      <c r="A135">
        <f t="shared" si="9"/>
        <v>131</v>
      </c>
    </row>
    <row r="136" spans="1:14" x14ac:dyDescent="0.25">
      <c r="A136">
        <f t="shared" si="9"/>
        <v>132</v>
      </c>
    </row>
    <row r="137" spans="1:14" x14ac:dyDescent="0.25">
      <c r="A137">
        <f t="shared" si="9"/>
        <v>133</v>
      </c>
    </row>
    <row r="138" spans="1:14" x14ac:dyDescent="0.25">
      <c r="A138">
        <f t="shared" si="9"/>
        <v>134</v>
      </c>
    </row>
    <row r="139" spans="1:14" x14ac:dyDescent="0.25">
      <c r="A139">
        <f t="shared" si="9"/>
        <v>135</v>
      </c>
    </row>
    <row r="140" spans="1:14" x14ac:dyDescent="0.25">
      <c r="A140">
        <f t="shared" si="9"/>
        <v>136</v>
      </c>
    </row>
    <row r="141" spans="1:14" x14ac:dyDescent="0.25">
      <c r="A141">
        <f t="shared" si="9"/>
        <v>137</v>
      </c>
    </row>
    <row r="142" spans="1:14" x14ac:dyDescent="0.25">
      <c r="A142">
        <f t="shared" si="9"/>
        <v>138</v>
      </c>
    </row>
    <row r="143" spans="1:14" x14ac:dyDescent="0.25">
      <c r="A143">
        <f t="shared" si="9"/>
        <v>139</v>
      </c>
    </row>
    <row r="144" spans="1:14" x14ac:dyDescent="0.25">
      <c r="A144">
        <f t="shared" si="9"/>
        <v>140</v>
      </c>
    </row>
    <row r="145" spans="1:14" x14ac:dyDescent="0.25">
      <c r="A145">
        <f t="shared" si="9"/>
        <v>141</v>
      </c>
    </row>
    <row r="146" spans="1:14" x14ac:dyDescent="0.25">
      <c r="A146">
        <f t="shared" si="9"/>
        <v>142</v>
      </c>
    </row>
    <row r="147" spans="1:14" x14ac:dyDescent="0.25">
      <c r="A147">
        <f t="shared" si="9"/>
        <v>143</v>
      </c>
    </row>
    <row r="148" spans="1:14" x14ac:dyDescent="0.25">
      <c r="A148">
        <f t="shared" si="9"/>
        <v>144</v>
      </c>
    </row>
    <row r="149" spans="1:14" x14ac:dyDescent="0.25">
      <c r="A149">
        <f t="shared" si="9"/>
        <v>145</v>
      </c>
    </row>
    <row r="150" spans="1:14" x14ac:dyDescent="0.25">
      <c r="A150">
        <f t="shared" si="9"/>
        <v>146</v>
      </c>
    </row>
    <row r="151" spans="1:14" x14ac:dyDescent="0.25">
      <c r="A151">
        <f t="shared" si="9"/>
        <v>147</v>
      </c>
    </row>
    <row r="152" spans="1:14" x14ac:dyDescent="0.25">
      <c r="A152">
        <f t="shared" si="9"/>
        <v>148</v>
      </c>
    </row>
    <row r="153" spans="1:14" x14ac:dyDescent="0.25">
      <c r="A153">
        <f t="shared" si="9"/>
        <v>149</v>
      </c>
    </row>
    <row r="154" spans="1:14" ht="45" x14ac:dyDescent="0.25">
      <c r="A154">
        <f t="shared" si="9"/>
        <v>150</v>
      </c>
      <c r="K154">
        <v>40.61</v>
      </c>
      <c r="L154" s="1">
        <f>74552/1024</f>
        <v>72.8046875</v>
      </c>
      <c r="N154" s="4" t="s">
        <v>70</v>
      </c>
    </row>
    <row r="155" spans="1:14" x14ac:dyDescent="0.25">
      <c r="A155">
        <f t="shared" si="9"/>
        <v>151</v>
      </c>
    </row>
    <row r="156" spans="1:14" x14ac:dyDescent="0.25">
      <c r="A156">
        <f t="shared" si="9"/>
        <v>152</v>
      </c>
    </row>
    <row r="157" spans="1:14" x14ac:dyDescent="0.25">
      <c r="A157">
        <f t="shared" si="9"/>
        <v>153</v>
      </c>
    </row>
    <row r="158" spans="1:14" x14ac:dyDescent="0.25">
      <c r="A158">
        <f t="shared" si="9"/>
        <v>154</v>
      </c>
    </row>
    <row r="159" spans="1:14" x14ac:dyDescent="0.25">
      <c r="A159">
        <f t="shared" si="9"/>
        <v>155</v>
      </c>
    </row>
    <row r="160" spans="1:14" x14ac:dyDescent="0.25">
      <c r="A160">
        <f t="shared" si="9"/>
        <v>156</v>
      </c>
    </row>
    <row r="161" spans="1:1" x14ac:dyDescent="0.25">
      <c r="A161">
        <f t="shared" si="9"/>
        <v>157</v>
      </c>
    </row>
    <row r="162" spans="1:1" x14ac:dyDescent="0.25">
      <c r="A162">
        <f t="shared" si="9"/>
        <v>158</v>
      </c>
    </row>
    <row r="163" spans="1:1" x14ac:dyDescent="0.25">
      <c r="A163">
        <f t="shared" si="9"/>
        <v>159</v>
      </c>
    </row>
    <row r="164" spans="1:1" x14ac:dyDescent="0.25">
      <c r="A164">
        <f t="shared" si="9"/>
        <v>160</v>
      </c>
    </row>
    <row r="165" spans="1:1" x14ac:dyDescent="0.25">
      <c r="A165">
        <f t="shared" si="9"/>
        <v>161</v>
      </c>
    </row>
    <row r="166" spans="1:1" x14ac:dyDescent="0.25">
      <c r="A166">
        <f t="shared" si="9"/>
        <v>162</v>
      </c>
    </row>
    <row r="167" spans="1:1" x14ac:dyDescent="0.25">
      <c r="A167">
        <f t="shared" si="9"/>
        <v>163</v>
      </c>
    </row>
    <row r="168" spans="1:1" x14ac:dyDescent="0.25">
      <c r="A168">
        <f t="shared" si="9"/>
        <v>164</v>
      </c>
    </row>
    <row r="169" spans="1:1" x14ac:dyDescent="0.25">
      <c r="A169">
        <f t="shared" si="9"/>
        <v>165</v>
      </c>
    </row>
    <row r="170" spans="1:1" x14ac:dyDescent="0.25">
      <c r="A170">
        <f t="shared" si="9"/>
        <v>166</v>
      </c>
    </row>
    <row r="171" spans="1:1" x14ac:dyDescent="0.25">
      <c r="A171">
        <f t="shared" si="9"/>
        <v>167</v>
      </c>
    </row>
    <row r="172" spans="1:1" x14ac:dyDescent="0.25">
      <c r="A172">
        <f t="shared" si="9"/>
        <v>168</v>
      </c>
    </row>
    <row r="173" spans="1:1" x14ac:dyDescent="0.25">
      <c r="A173">
        <f t="shared" si="9"/>
        <v>169</v>
      </c>
    </row>
    <row r="174" spans="1:1" x14ac:dyDescent="0.25">
      <c r="A174">
        <f t="shared" si="9"/>
        <v>170</v>
      </c>
    </row>
    <row r="175" spans="1:1" x14ac:dyDescent="0.25">
      <c r="A175">
        <f t="shared" si="9"/>
        <v>171</v>
      </c>
    </row>
    <row r="176" spans="1:1" x14ac:dyDescent="0.25">
      <c r="A176">
        <f t="shared" si="9"/>
        <v>172</v>
      </c>
    </row>
    <row r="177" spans="1:14" x14ac:dyDescent="0.25">
      <c r="A177">
        <f t="shared" si="9"/>
        <v>173</v>
      </c>
    </row>
    <row r="178" spans="1:14" x14ac:dyDescent="0.25">
      <c r="A178">
        <f t="shared" si="9"/>
        <v>174</v>
      </c>
    </row>
    <row r="179" spans="1:14" ht="45" x14ac:dyDescent="0.25">
      <c r="A179">
        <f t="shared" si="9"/>
        <v>175</v>
      </c>
      <c r="K179">
        <v>47.89</v>
      </c>
      <c r="L179" s="1">
        <f>74644/1024</f>
        <v>72.89453125</v>
      </c>
      <c r="N179" s="4" t="s">
        <v>71</v>
      </c>
    </row>
    <row r="180" spans="1:14" x14ac:dyDescent="0.25">
      <c r="A180">
        <f t="shared" si="9"/>
        <v>176</v>
      </c>
    </row>
    <row r="181" spans="1:14" x14ac:dyDescent="0.25">
      <c r="A181">
        <f t="shared" si="9"/>
        <v>177</v>
      </c>
    </row>
    <row r="182" spans="1:14" x14ac:dyDescent="0.25">
      <c r="A182">
        <f t="shared" si="9"/>
        <v>178</v>
      </c>
    </row>
    <row r="183" spans="1:14" x14ac:dyDescent="0.25">
      <c r="A183">
        <f t="shared" si="9"/>
        <v>179</v>
      </c>
    </row>
    <row r="184" spans="1:14" x14ac:dyDescent="0.25">
      <c r="A184">
        <f t="shared" si="9"/>
        <v>180</v>
      </c>
    </row>
    <row r="185" spans="1:14" x14ac:dyDescent="0.25">
      <c r="A185">
        <f t="shared" si="9"/>
        <v>181</v>
      </c>
    </row>
    <row r="186" spans="1:14" x14ac:dyDescent="0.25">
      <c r="A186">
        <f t="shared" si="9"/>
        <v>182</v>
      </c>
    </row>
    <row r="187" spans="1:14" x14ac:dyDescent="0.25">
      <c r="A187">
        <f t="shared" si="9"/>
        <v>183</v>
      </c>
    </row>
    <row r="188" spans="1:14" x14ac:dyDescent="0.25">
      <c r="A188">
        <f t="shared" si="9"/>
        <v>184</v>
      </c>
    </row>
    <row r="189" spans="1:14" x14ac:dyDescent="0.25">
      <c r="A189">
        <f t="shared" si="9"/>
        <v>185</v>
      </c>
    </row>
    <row r="190" spans="1:14" x14ac:dyDescent="0.25">
      <c r="A190">
        <f t="shared" si="9"/>
        <v>186</v>
      </c>
    </row>
    <row r="191" spans="1:14" x14ac:dyDescent="0.25">
      <c r="A191">
        <f t="shared" si="9"/>
        <v>187</v>
      </c>
    </row>
    <row r="192" spans="1:14" x14ac:dyDescent="0.25">
      <c r="A192">
        <f t="shared" si="9"/>
        <v>188</v>
      </c>
    </row>
    <row r="193" spans="1:22" x14ac:dyDescent="0.25">
      <c r="A193">
        <f t="shared" si="9"/>
        <v>189</v>
      </c>
    </row>
    <row r="194" spans="1:22" x14ac:dyDescent="0.25">
      <c r="A194">
        <f t="shared" si="9"/>
        <v>190</v>
      </c>
    </row>
    <row r="195" spans="1:22" x14ac:dyDescent="0.25">
      <c r="A195">
        <f t="shared" si="9"/>
        <v>191</v>
      </c>
    </row>
    <row r="196" spans="1:22" x14ac:dyDescent="0.25">
      <c r="A196">
        <f t="shared" si="9"/>
        <v>192</v>
      </c>
    </row>
    <row r="197" spans="1:22" x14ac:dyDescent="0.25">
      <c r="A197">
        <f t="shared" si="9"/>
        <v>193</v>
      </c>
    </row>
    <row r="198" spans="1:22" x14ac:dyDescent="0.25">
      <c r="A198">
        <f t="shared" ref="A198:A261" si="10">ROW()-4</f>
        <v>194</v>
      </c>
    </row>
    <row r="199" spans="1:22" x14ac:dyDescent="0.25">
      <c r="A199">
        <f t="shared" si="10"/>
        <v>195</v>
      </c>
    </row>
    <row r="200" spans="1:22" x14ac:dyDescent="0.25">
      <c r="A200">
        <f t="shared" si="10"/>
        <v>196</v>
      </c>
    </row>
    <row r="201" spans="1:22" x14ac:dyDescent="0.25">
      <c r="A201">
        <f t="shared" si="10"/>
        <v>197</v>
      </c>
    </row>
    <row r="202" spans="1:22" x14ac:dyDescent="0.25">
      <c r="A202">
        <f t="shared" si="10"/>
        <v>198</v>
      </c>
    </row>
    <row r="203" spans="1:22" x14ac:dyDescent="0.25">
      <c r="A203">
        <f t="shared" si="10"/>
        <v>199</v>
      </c>
    </row>
    <row r="204" spans="1:22" ht="45" x14ac:dyDescent="0.25">
      <c r="A204">
        <f t="shared" si="10"/>
        <v>200</v>
      </c>
      <c r="K204">
        <v>59.73</v>
      </c>
      <c r="L204" s="1">
        <f>76216/1024</f>
        <v>74.4296875</v>
      </c>
      <c r="N204" s="4" t="s">
        <v>72</v>
      </c>
      <c r="S204" s="1">
        <v>3.03</v>
      </c>
      <c r="T204" s="1">
        <f>76200/1024</f>
        <v>74.4140625</v>
      </c>
      <c r="V204" s="4" t="s">
        <v>102</v>
      </c>
    </row>
    <row r="205" spans="1:22" x14ac:dyDescent="0.25">
      <c r="A205">
        <f t="shared" si="10"/>
        <v>201</v>
      </c>
    </row>
    <row r="206" spans="1:22" x14ac:dyDescent="0.25">
      <c r="A206">
        <f t="shared" si="10"/>
        <v>202</v>
      </c>
    </row>
    <row r="207" spans="1:22" x14ac:dyDescent="0.25">
      <c r="A207">
        <f t="shared" si="10"/>
        <v>203</v>
      </c>
    </row>
    <row r="208" spans="1:22" x14ac:dyDescent="0.25">
      <c r="A208">
        <f t="shared" si="10"/>
        <v>204</v>
      </c>
    </row>
    <row r="209" spans="1:1" x14ac:dyDescent="0.25">
      <c r="A209">
        <f t="shared" si="10"/>
        <v>205</v>
      </c>
    </row>
    <row r="210" spans="1:1" x14ac:dyDescent="0.25">
      <c r="A210">
        <f t="shared" si="10"/>
        <v>206</v>
      </c>
    </row>
    <row r="211" spans="1:1" x14ac:dyDescent="0.25">
      <c r="A211">
        <f t="shared" si="10"/>
        <v>207</v>
      </c>
    </row>
    <row r="212" spans="1:1" x14ac:dyDescent="0.25">
      <c r="A212">
        <f t="shared" si="10"/>
        <v>208</v>
      </c>
    </row>
    <row r="213" spans="1:1" x14ac:dyDescent="0.25">
      <c r="A213">
        <f t="shared" si="10"/>
        <v>209</v>
      </c>
    </row>
    <row r="214" spans="1:1" x14ac:dyDescent="0.25">
      <c r="A214">
        <f t="shared" si="10"/>
        <v>210</v>
      </c>
    </row>
    <row r="215" spans="1:1" x14ac:dyDescent="0.25">
      <c r="A215">
        <f t="shared" si="10"/>
        <v>211</v>
      </c>
    </row>
    <row r="216" spans="1:1" x14ac:dyDescent="0.25">
      <c r="A216">
        <f t="shared" si="10"/>
        <v>212</v>
      </c>
    </row>
    <row r="217" spans="1:1" x14ac:dyDescent="0.25">
      <c r="A217">
        <f t="shared" si="10"/>
        <v>213</v>
      </c>
    </row>
    <row r="218" spans="1:1" x14ac:dyDescent="0.25">
      <c r="A218">
        <f t="shared" si="10"/>
        <v>214</v>
      </c>
    </row>
    <row r="219" spans="1:1" x14ac:dyDescent="0.25">
      <c r="A219">
        <f t="shared" si="10"/>
        <v>215</v>
      </c>
    </row>
    <row r="220" spans="1:1" x14ac:dyDescent="0.25">
      <c r="A220">
        <f t="shared" si="10"/>
        <v>216</v>
      </c>
    </row>
    <row r="221" spans="1:1" x14ac:dyDescent="0.25">
      <c r="A221">
        <f t="shared" si="10"/>
        <v>217</v>
      </c>
    </row>
    <row r="222" spans="1:1" x14ac:dyDescent="0.25">
      <c r="A222">
        <f t="shared" si="10"/>
        <v>218</v>
      </c>
    </row>
    <row r="223" spans="1:1" x14ac:dyDescent="0.25">
      <c r="A223">
        <f t="shared" si="10"/>
        <v>219</v>
      </c>
    </row>
    <row r="224" spans="1:1" x14ac:dyDescent="0.25">
      <c r="A224">
        <f t="shared" si="10"/>
        <v>220</v>
      </c>
    </row>
    <row r="225" spans="1:14" x14ac:dyDescent="0.25">
      <c r="A225">
        <f t="shared" si="10"/>
        <v>221</v>
      </c>
    </row>
    <row r="226" spans="1:14" x14ac:dyDescent="0.25">
      <c r="A226">
        <f t="shared" si="10"/>
        <v>222</v>
      </c>
    </row>
    <row r="227" spans="1:14" x14ac:dyDescent="0.25">
      <c r="A227">
        <f t="shared" si="10"/>
        <v>223</v>
      </c>
    </row>
    <row r="228" spans="1:14" x14ac:dyDescent="0.25">
      <c r="A228">
        <f t="shared" si="10"/>
        <v>224</v>
      </c>
    </row>
    <row r="229" spans="1:14" ht="45" x14ac:dyDescent="0.25">
      <c r="A229">
        <f t="shared" si="10"/>
        <v>225</v>
      </c>
      <c r="K229">
        <v>68.59</v>
      </c>
      <c r="L229" s="1">
        <f>76352/1024</f>
        <v>74.5625</v>
      </c>
      <c r="N229" s="4" t="s">
        <v>73</v>
      </c>
    </row>
    <row r="230" spans="1:14" x14ac:dyDescent="0.25">
      <c r="A230">
        <f t="shared" si="10"/>
        <v>226</v>
      </c>
    </row>
    <row r="231" spans="1:14" x14ac:dyDescent="0.25">
      <c r="A231">
        <f t="shared" si="10"/>
        <v>227</v>
      </c>
    </row>
    <row r="232" spans="1:14" x14ac:dyDescent="0.25">
      <c r="A232">
        <f t="shared" si="10"/>
        <v>228</v>
      </c>
    </row>
    <row r="233" spans="1:14" x14ac:dyDescent="0.25">
      <c r="A233">
        <f t="shared" si="10"/>
        <v>229</v>
      </c>
    </row>
    <row r="234" spans="1:14" x14ac:dyDescent="0.25">
      <c r="A234">
        <f t="shared" si="10"/>
        <v>230</v>
      </c>
    </row>
    <row r="235" spans="1:14" x14ac:dyDescent="0.25">
      <c r="A235">
        <f t="shared" si="10"/>
        <v>231</v>
      </c>
    </row>
    <row r="236" spans="1:14" x14ac:dyDescent="0.25">
      <c r="A236">
        <f t="shared" si="10"/>
        <v>232</v>
      </c>
    </row>
    <row r="237" spans="1:14" x14ac:dyDescent="0.25">
      <c r="A237">
        <f t="shared" si="10"/>
        <v>233</v>
      </c>
    </row>
    <row r="238" spans="1:14" x14ac:dyDescent="0.25">
      <c r="A238">
        <f t="shared" si="10"/>
        <v>234</v>
      </c>
    </row>
    <row r="239" spans="1:14" x14ac:dyDescent="0.25">
      <c r="A239">
        <f t="shared" si="10"/>
        <v>235</v>
      </c>
    </row>
    <row r="240" spans="1:14" x14ac:dyDescent="0.25">
      <c r="A240">
        <f t="shared" si="10"/>
        <v>236</v>
      </c>
    </row>
    <row r="241" spans="1:14" x14ac:dyDescent="0.25">
      <c r="A241">
        <f t="shared" si="10"/>
        <v>237</v>
      </c>
    </row>
    <row r="242" spans="1:14" x14ac:dyDescent="0.25">
      <c r="A242">
        <f t="shared" si="10"/>
        <v>238</v>
      </c>
    </row>
    <row r="243" spans="1:14" x14ac:dyDescent="0.25">
      <c r="A243">
        <f t="shared" si="10"/>
        <v>239</v>
      </c>
    </row>
    <row r="244" spans="1:14" x14ac:dyDescent="0.25">
      <c r="A244">
        <f t="shared" si="10"/>
        <v>240</v>
      </c>
    </row>
    <row r="245" spans="1:14" x14ac:dyDescent="0.25">
      <c r="A245">
        <f t="shared" si="10"/>
        <v>241</v>
      </c>
    </row>
    <row r="246" spans="1:14" x14ac:dyDescent="0.25">
      <c r="A246">
        <f t="shared" si="10"/>
        <v>242</v>
      </c>
    </row>
    <row r="247" spans="1:14" x14ac:dyDescent="0.25">
      <c r="A247">
        <f t="shared" si="10"/>
        <v>243</v>
      </c>
    </row>
    <row r="248" spans="1:14" x14ac:dyDescent="0.25">
      <c r="A248">
        <f t="shared" si="10"/>
        <v>244</v>
      </c>
    </row>
    <row r="249" spans="1:14" x14ac:dyDescent="0.25">
      <c r="A249">
        <f t="shared" si="10"/>
        <v>245</v>
      </c>
    </row>
    <row r="250" spans="1:14" x14ac:dyDescent="0.25">
      <c r="A250">
        <f t="shared" si="10"/>
        <v>246</v>
      </c>
    </row>
    <row r="251" spans="1:14" x14ac:dyDescent="0.25">
      <c r="A251">
        <f t="shared" si="10"/>
        <v>247</v>
      </c>
    </row>
    <row r="252" spans="1:14" x14ac:dyDescent="0.25">
      <c r="A252">
        <f t="shared" si="10"/>
        <v>248</v>
      </c>
    </row>
    <row r="253" spans="1:14" x14ac:dyDescent="0.25">
      <c r="A253">
        <f t="shared" si="10"/>
        <v>249</v>
      </c>
    </row>
    <row r="254" spans="1:14" ht="45" x14ac:dyDescent="0.25">
      <c r="A254">
        <f t="shared" si="10"/>
        <v>250</v>
      </c>
      <c r="K254">
        <v>77.05</v>
      </c>
      <c r="L254" s="1">
        <f>76372/1024</f>
        <v>74.58203125</v>
      </c>
      <c r="N254" s="4" t="s">
        <v>74</v>
      </c>
    </row>
    <row r="255" spans="1:14" x14ac:dyDescent="0.25">
      <c r="A255">
        <f t="shared" si="10"/>
        <v>251</v>
      </c>
    </row>
    <row r="256" spans="1:14" x14ac:dyDescent="0.25">
      <c r="A256">
        <f t="shared" si="10"/>
        <v>252</v>
      </c>
    </row>
    <row r="257" spans="1:1" x14ac:dyDescent="0.25">
      <c r="A257">
        <f t="shared" si="10"/>
        <v>253</v>
      </c>
    </row>
    <row r="258" spans="1:1" x14ac:dyDescent="0.25">
      <c r="A258">
        <f t="shared" si="10"/>
        <v>254</v>
      </c>
    </row>
    <row r="259" spans="1:1" x14ac:dyDescent="0.25">
      <c r="A259">
        <f t="shared" si="10"/>
        <v>255</v>
      </c>
    </row>
    <row r="260" spans="1:1" x14ac:dyDescent="0.25">
      <c r="A260">
        <f t="shared" si="10"/>
        <v>256</v>
      </c>
    </row>
    <row r="261" spans="1:1" x14ac:dyDescent="0.25">
      <c r="A261">
        <f t="shared" si="10"/>
        <v>257</v>
      </c>
    </row>
    <row r="262" spans="1:1" x14ac:dyDescent="0.25">
      <c r="A262">
        <f t="shared" ref="A262:A325" si="11">ROW()-4</f>
        <v>258</v>
      </c>
    </row>
    <row r="263" spans="1:1" x14ac:dyDescent="0.25">
      <c r="A263">
        <f t="shared" si="11"/>
        <v>259</v>
      </c>
    </row>
    <row r="264" spans="1:1" x14ac:dyDescent="0.25">
      <c r="A264">
        <f t="shared" si="11"/>
        <v>260</v>
      </c>
    </row>
    <row r="265" spans="1:1" x14ac:dyDescent="0.25">
      <c r="A265">
        <f t="shared" si="11"/>
        <v>261</v>
      </c>
    </row>
    <row r="266" spans="1:1" x14ac:dyDescent="0.25">
      <c r="A266">
        <f t="shared" si="11"/>
        <v>262</v>
      </c>
    </row>
    <row r="267" spans="1:1" x14ac:dyDescent="0.25">
      <c r="A267">
        <f t="shared" si="11"/>
        <v>263</v>
      </c>
    </row>
    <row r="268" spans="1:1" x14ac:dyDescent="0.25">
      <c r="A268">
        <f t="shared" si="11"/>
        <v>264</v>
      </c>
    </row>
    <row r="269" spans="1:1" x14ac:dyDescent="0.25">
      <c r="A269">
        <f t="shared" si="11"/>
        <v>265</v>
      </c>
    </row>
    <row r="270" spans="1:1" x14ac:dyDescent="0.25">
      <c r="A270">
        <f t="shared" si="11"/>
        <v>266</v>
      </c>
    </row>
    <row r="271" spans="1:1" x14ac:dyDescent="0.25">
      <c r="A271">
        <f t="shared" si="11"/>
        <v>267</v>
      </c>
    </row>
    <row r="272" spans="1:1" x14ac:dyDescent="0.25">
      <c r="A272">
        <f t="shared" si="11"/>
        <v>268</v>
      </c>
    </row>
    <row r="273" spans="1:14" x14ac:dyDescent="0.25">
      <c r="A273">
        <f t="shared" si="11"/>
        <v>269</v>
      </c>
    </row>
    <row r="274" spans="1:14" x14ac:dyDescent="0.25">
      <c r="A274">
        <f t="shared" si="11"/>
        <v>270</v>
      </c>
    </row>
    <row r="275" spans="1:14" x14ac:dyDescent="0.25">
      <c r="A275">
        <f t="shared" si="11"/>
        <v>271</v>
      </c>
    </row>
    <row r="276" spans="1:14" x14ac:dyDescent="0.25">
      <c r="A276">
        <f t="shared" si="11"/>
        <v>272</v>
      </c>
    </row>
    <row r="277" spans="1:14" x14ac:dyDescent="0.25">
      <c r="A277">
        <f t="shared" si="11"/>
        <v>273</v>
      </c>
    </row>
    <row r="278" spans="1:14" x14ac:dyDescent="0.25">
      <c r="A278">
        <f t="shared" si="11"/>
        <v>274</v>
      </c>
    </row>
    <row r="279" spans="1:14" ht="45" x14ac:dyDescent="0.25">
      <c r="A279">
        <f t="shared" si="11"/>
        <v>275</v>
      </c>
      <c r="K279">
        <f>83.24</f>
        <v>83.24</v>
      </c>
      <c r="L279" s="1">
        <f>77744/1024</f>
        <v>75.921875</v>
      </c>
      <c r="N279" s="4" t="s">
        <v>75</v>
      </c>
    </row>
    <row r="280" spans="1:14" x14ac:dyDescent="0.25">
      <c r="A280">
        <f t="shared" si="11"/>
        <v>276</v>
      </c>
    </row>
    <row r="281" spans="1:14" x14ac:dyDescent="0.25">
      <c r="A281">
        <f t="shared" si="11"/>
        <v>277</v>
      </c>
    </row>
    <row r="282" spans="1:14" x14ac:dyDescent="0.25">
      <c r="A282">
        <f t="shared" si="11"/>
        <v>278</v>
      </c>
    </row>
    <row r="283" spans="1:14" x14ac:dyDescent="0.25">
      <c r="A283">
        <f t="shared" si="11"/>
        <v>279</v>
      </c>
    </row>
    <row r="284" spans="1:14" x14ac:dyDescent="0.25">
      <c r="A284">
        <f t="shared" si="11"/>
        <v>280</v>
      </c>
    </row>
    <row r="285" spans="1:14" x14ac:dyDescent="0.25">
      <c r="A285">
        <f t="shared" si="11"/>
        <v>281</v>
      </c>
    </row>
    <row r="286" spans="1:14" x14ac:dyDescent="0.25">
      <c r="A286">
        <f t="shared" si="11"/>
        <v>282</v>
      </c>
    </row>
    <row r="287" spans="1:14" x14ac:dyDescent="0.25">
      <c r="A287">
        <f t="shared" si="11"/>
        <v>283</v>
      </c>
    </row>
    <row r="288" spans="1:14" x14ac:dyDescent="0.25">
      <c r="A288">
        <f t="shared" si="11"/>
        <v>284</v>
      </c>
    </row>
    <row r="289" spans="1:22" x14ac:dyDescent="0.25">
      <c r="A289">
        <f t="shared" si="11"/>
        <v>285</v>
      </c>
    </row>
    <row r="290" spans="1:22" x14ac:dyDescent="0.25">
      <c r="A290">
        <f t="shared" si="11"/>
        <v>286</v>
      </c>
    </row>
    <row r="291" spans="1:22" x14ac:dyDescent="0.25">
      <c r="A291">
        <f t="shared" si="11"/>
        <v>287</v>
      </c>
    </row>
    <row r="292" spans="1:22" x14ac:dyDescent="0.25">
      <c r="A292">
        <f t="shared" si="11"/>
        <v>288</v>
      </c>
    </row>
    <row r="293" spans="1:22" x14ac:dyDescent="0.25">
      <c r="A293">
        <f t="shared" si="11"/>
        <v>289</v>
      </c>
    </row>
    <row r="294" spans="1:22" x14ac:dyDescent="0.25">
      <c r="A294">
        <f t="shared" si="11"/>
        <v>290</v>
      </c>
    </row>
    <row r="295" spans="1:22" x14ac:dyDescent="0.25">
      <c r="A295">
        <f t="shared" si="11"/>
        <v>291</v>
      </c>
    </row>
    <row r="296" spans="1:22" x14ac:dyDescent="0.25">
      <c r="A296">
        <f t="shared" si="11"/>
        <v>292</v>
      </c>
    </row>
    <row r="297" spans="1:22" x14ac:dyDescent="0.25">
      <c r="A297">
        <f t="shared" si="11"/>
        <v>293</v>
      </c>
    </row>
    <row r="298" spans="1:22" x14ac:dyDescent="0.25">
      <c r="A298">
        <f t="shared" si="11"/>
        <v>294</v>
      </c>
    </row>
    <row r="299" spans="1:22" x14ac:dyDescent="0.25">
      <c r="A299">
        <f t="shared" si="11"/>
        <v>295</v>
      </c>
    </row>
    <row r="300" spans="1:22" x14ac:dyDescent="0.25">
      <c r="A300">
        <f t="shared" si="11"/>
        <v>296</v>
      </c>
    </row>
    <row r="301" spans="1:22" x14ac:dyDescent="0.25">
      <c r="A301">
        <f t="shared" si="11"/>
        <v>297</v>
      </c>
    </row>
    <row r="302" spans="1:22" x14ac:dyDescent="0.25">
      <c r="A302">
        <f t="shared" si="11"/>
        <v>298</v>
      </c>
    </row>
    <row r="303" spans="1:22" x14ac:dyDescent="0.25">
      <c r="A303">
        <f t="shared" si="11"/>
        <v>299</v>
      </c>
    </row>
    <row r="304" spans="1:22" ht="45" x14ac:dyDescent="0.25">
      <c r="A304">
        <f t="shared" si="11"/>
        <v>300</v>
      </c>
      <c r="K304">
        <v>94.25</v>
      </c>
      <c r="L304" s="1">
        <f>77512/1024</f>
        <v>75.6953125</v>
      </c>
      <c r="N304" s="4" t="s">
        <v>76</v>
      </c>
      <c r="S304" s="1">
        <v>3.03</v>
      </c>
      <c r="T304" s="1">
        <f>76172/1024</f>
        <v>74.38671875</v>
      </c>
      <c r="V304" s="4" t="s">
        <v>103</v>
      </c>
    </row>
    <row r="305" spans="1:1" x14ac:dyDescent="0.25">
      <c r="A305">
        <f t="shared" si="11"/>
        <v>301</v>
      </c>
    </row>
    <row r="306" spans="1:1" x14ac:dyDescent="0.25">
      <c r="A306">
        <f t="shared" si="11"/>
        <v>302</v>
      </c>
    </row>
    <row r="307" spans="1:1" x14ac:dyDescent="0.25">
      <c r="A307">
        <f t="shared" si="11"/>
        <v>303</v>
      </c>
    </row>
    <row r="308" spans="1:1" x14ac:dyDescent="0.25">
      <c r="A308">
        <f t="shared" si="11"/>
        <v>304</v>
      </c>
    </row>
    <row r="309" spans="1:1" x14ac:dyDescent="0.25">
      <c r="A309">
        <f t="shared" si="11"/>
        <v>305</v>
      </c>
    </row>
    <row r="310" spans="1:1" x14ac:dyDescent="0.25">
      <c r="A310">
        <f t="shared" si="11"/>
        <v>306</v>
      </c>
    </row>
    <row r="311" spans="1:1" x14ac:dyDescent="0.25">
      <c r="A311">
        <f t="shared" si="11"/>
        <v>307</v>
      </c>
    </row>
    <row r="312" spans="1:1" x14ac:dyDescent="0.25">
      <c r="A312">
        <f t="shared" si="11"/>
        <v>308</v>
      </c>
    </row>
    <row r="313" spans="1:1" x14ac:dyDescent="0.25">
      <c r="A313">
        <f t="shared" si="11"/>
        <v>309</v>
      </c>
    </row>
    <row r="314" spans="1:1" x14ac:dyDescent="0.25">
      <c r="A314">
        <f t="shared" si="11"/>
        <v>310</v>
      </c>
    </row>
    <row r="315" spans="1:1" x14ac:dyDescent="0.25">
      <c r="A315">
        <f t="shared" si="11"/>
        <v>311</v>
      </c>
    </row>
    <row r="316" spans="1:1" x14ac:dyDescent="0.25">
      <c r="A316">
        <f t="shared" si="11"/>
        <v>312</v>
      </c>
    </row>
    <row r="317" spans="1:1" x14ac:dyDescent="0.25">
      <c r="A317">
        <f t="shared" si="11"/>
        <v>313</v>
      </c>
    </row>
    <row r="318" spans="1:1" x14ac:dyDescent="0.25">
      <c r="A318">
        <f t="shared" si="11"/>
        <v>314</v>
      </c>
    </row>
    <row r="319" spans="1:1" x14ac:dyDescent="0.25">
      <c r="A319">
        <f t="shared" si="11"/>
        <v>315</v>
      </c>
    </row>
    <row r="320" spans="1:1" x14ac:dyDescent="0.25">
      <c r="A320">
        <f t="shared" si="11"/>
        <v>316</v>
      </c>
    </row>
    <row r="321" spans="1:1" x14ac:dyDescent="0.25">
      <c r="A321">
        <f t="shared" si="11"/>
        <v>317</v>
      </c>
    </row>
    <row r="322" spans="1:1" x14ac:dyDescent="0.25">
      <c r="A322">
        <f t="shared" si="11"/>
        <v>318</v>
      </c>
    </row>
    <row r="323" spans="1:1" x14ac:dyDescent="0.25">
      <c r="A323">
        <f t="shared" si="11"/>
        <v>319</v>
      </c>
    </row>
    <row r="324" spans="1:1" x14ac:dyDescent="0.25">
      <c r="A324">
        <f t="shared" si="11"/>
        <v>320</v>
      </c>
    </row>
    <row r="325" spans="1:1" x14ac:dyDescent="0.25">
      <c r="A325">
        <f t="shared" si="11"/>
        <v>321</v>
      </c>
    </row>
    <row r="326" spans="1:1" x14ac:dyDescent="0.25">
      <c r="A326">
        <f t="shared" ref="A326:A389" si="12">ROW()-4</f>
        <v>322</v>
      </c>
    </row>
    <row r="327" spans="1:1" x14ac:dyDescent="0.25">
      <c r="A327">
        <f t="shared" si="12"/>
        <v>323</v>
      </c>
    </row>
    <row r="328" spans="1:1" x14ac:dyDescent="0.25">
      <c r="A328">
        <f t="shared" si="12"/>
        <v>324</v>
      </c>
    </row>
    <row r="329" spans="1:1" x14ac:dyDescent="0.25">
      <c r="A329">
        <f t="shared" si="12"/>
        <v>325</v>
      </c>
    </row>
    <row r="330" spans="1:1" x14ac:dyDescent="0.25">
      <c r="A330">
        <f t="shared" si="12"/>
        <v>326</v>
      </c>
    </row>
    <row r="331" spans="1:1" x14ac:dyDescent="0.25">
      <c r="A331">
        <f t="shared" si="12"/>
        <v>327</v>
      </c>
    </row>
    <row r="332" spans="1:1" x14ac:dyDescent="0.25">
      <c r="A332">
        <f t="shared" si="12"/>
        <v>328</v>
      </c>
    </row>
    <row r="333" spans="1:1" x14ac:dyDescent="0.25">
      <c r="A333">
        <f t="shared" si="12"/>
        <v>329</v>
      </c>
    </row>
    <row r="334" spans="1:1" x14ac:dyDescent="0.25">
      <c r="A334">
        <f t="shared" si="12"/>
        <v>330</v>
      </c>
    </row>
    <row r="335" spans="1:1" x14ac:dyDescent="0.25">
      <c r="A335">
        <f t="shared" si="12"/>
        <v>331</v>
      </c>
    </row>
    <row r="336" spans="1:1" x14ac:dyDescent="0.25">
      <c r="A336">
        <f t="shared" si="12"/>
        <v>332</v>
      </c>
    </row>
    <row r="337" spans="1:1" x14ac:dyDescent="0.25">
      <c r="A337">
        <f t="shared" si="12"/>
        <v>333</v>
      </c>
    </row>
    <row r="338" spans="1:1" x14ac:dyDescent="0.25">
      <c r="A338">
        <f t="shared" si="12"/>
        <v>334</v>
      </c>
    </row>
    <row r="339" spans="1:1" x14ac:dyDescent="0.25">
      <c r="A339">
        <f t="shared" si="12"/>
        <v>335</v>
      </c>
    </row>
    <row r="340" spans="1:1" x14ac:dyDescent="0.25">
      <c r="A340">
        <f t="shared" si="12"/>
        <v>336</v>
      </c>
    </row>
    <row r="341" spans="1:1" x14ac:dyDescent="0.25">
      <c r="A341">
        <f t="shared" si="12"/>
        <v>337</v>
      </c>
    </row>
    <row r="342" spans="1:1" x14ac:dyDescent="0.25">
      <c r="A342">
        <f t="shared" si="12"/>
        <v>338</v>
      </c>
    </row>
    <row r="343" spans="1:1" x14ac:dyDescent="0.25">
      <c r="A343">
        <f t="shared" si="12"/>
        <v>339</v>
      </c>
    </row>
    <row r="344" spans="1:1" x14ac:dyDescent="0.25">
      <c r="A344">
        <f t="shared" si="12"/>
        <v>340</v>
      </c>
    </row>
    <row r="345" spans="1:1" x14ac:dyDescent="0.25">
      <c r="A345">
        <f t="shared" si="12"/>
        <v>341</v>
      </c>
    </row>
    <row r="346" spans="1:1" x14ac:dyDescent="0.25">
      <c r="A346">
        <f t="shared" si="12"/>
        <v>342</v>
      </c>
    </row>
    <row r="347" spans="1:1" x14ac:dyDescent="0.25">
      <c r="A347">
        <f t="shared" si="12"/>
        <v>343</v>
      </c>
    </row>
    <row r="348" spans="1:1" x14ac:dyDescent="0.25">
      <c r="A348">
        <f t="shared" si="12"/>
        <v>344</v>
      </c>
    </row>
    <row r="349" spans="1:1" x14ac:dyDescent="0.25">
      <c r="A349">
        <f t="shared" si="12"/>
        <v>345</v>
      </c>
    </row>
    <row r="350" spans="1:1" x14ac:dyDescent="0.25">
      <c r="A350">
        <f t="shared" si="12"/>
        <v>346</v>
      </c>
    </row>
    <row r="351" spans="1:1" x14ac:dyDescent="0.25">
      <c r="A351">
        <f t="shared" si="12"/>
        <v>347</v>
      </c>
    </row>
    <row r="352" spans="1:1" x14ac:dyDescent="0.25">
      <c r="A352">
        <f t="shared" si="12"/>
        <v>348</v>
      </c>
    </row>
    <row r="353" spans="1:1" x14ac:dyDescent="0.25">
      <c r="A353">
        <f t="shared" si="12"/>
        <v>349</v>
      </c>
    </row>
    <row r="354" spans="1:1" x14ac:dyDescent="0.25">
      <c r="A354">
        <f t="shared" si="12"/>
        <v>350</v>
      </c>
    </row>
    <row r="355" spans="1:1" x14ac:dyDescent="0.25">
      <c r="A355">
        <f t="shared" si="12"/>
        <v>351</v>
      </c>
    </row>
    <row r="356" spans="1:1" x14ac:dyDescent="0.25">
      <c r="A356">
        <f t="shared" si="12"/>
        <v>352</v>
      </c>
    </row>
    <row r="357" spans="1:1" x14ac:dyDescent="0.25">
      <c r="A357">
        <f t="shared" si="12"/>
        <v>353</v>
      </c>
    </row>
    <row r="358" spans="1:1" x14ac:dyDescent="0.25">
      <c r="A358">
        <f t="shared" si="12"/>
        <v>354</v>
      </c>
    </row>
    <row r="359" spans="1:1" x14ac:dyDescent="0.25">
      <c r="A359">
        <f t="shared" si="12"/>
        <v>355</v>
      </c>
    </row>
    <row r="360" spans="1:1" x14ac:dyDescent="0.25">
      <c r="A360">
        <f t="shared" si="12"/>
        <v>356</v>
      </c>
    </row>
    <row r="361" spans="1:1" x14ac:dyDescent="0.25">
      <c r="A361">
        <f t="shared" si="12"/>
        <v>357</v>
      </c>
    </row>
    <row r="362" spans="1:1" x14ac:dyDescent="0.25">
      <c r="A362">
        <f t="shared" si="12"/>
        <v>358</v>
      </c>
    </row>
    <row r="363" spans="1:1" x14ac:dyDescent="0.25">
      <c r="A363">
        <f t="shared" si="12"/>
        <v>359</v>
      </c>
    </row>
    <row r="364" spans="1:1" x14ac:dyDescent="0.25">
      <c r="A364">
        <f t="shared" si="12"/>
        <v>360</v>
      </c>
    </row>
    <row r="365" spans="1:1" x14ac:dyDescent="0.25">
      <c r="A365">
        <f t="shared" si="12"/>
        <v>361</v>
      </c>
    </row>
    <row r="366" spans="1:1" x14ac:dyDescent="0.25">
      <c r="A366">
        <f t="shared" si="12"/>
        <v>362</v>
      </c>
    </row>
    <row r="367" spans="1:1" x14ac:dyDescent="0.25">
      <c r="A367">
        <f t="shared" si="12"/>
        <v>363</v>
      </c>
    </row>
    <row r="368" spans="1:1" x14ac:dyDescent="0.25">
      <c r="A368">
        <f t="shared" si="12"/>
        <v>364</v>
      </c>
    </row>
    <row r="369" spans="1:1" x14ac:dyDescent="0.25">
      <c r="A369">
        <f t="shared" si="12"/>
        <v>365</v>
      </c>
    </row>
    <row r="370" spans="1:1" x14ac:dyDescent="0.25">
      <c r="A370">
        <f t="shared" si="12"/>
        <v>366</v>
      </c>
    </row>
    <row r="371" spans="1:1" x14ac:dyDescent="0.25">
      <c r="A371">
        <f t="shared" si="12"/>
        <v>367</v>
      </c>
    </row>
    <row r="372" spans="1:1" x14ac:dyDescent="0.25">
      <c r="A372">
        <f t="shared" si="12"/>
        <v>368</v>
      </c>
    </row>
    <row r="373" spans="1:1" x14ac:dyDescent="0.25">
      <c r="A373">
        <f t="shared" si="12"/>
        <v>369</v>
      </c>
    </row>
    <row r="374" spans="1:1" x14ac:dyDescent="0.25">
      <c r="A374">
        <f t="shared" si="12"/>
        <v>370</v>
      </c>
    </row>
    <row r="375" spans="1:1" x14ac:dyDescent="0.25">
      <c r="A375">
        <f t="shared" si="12"/>
        <v>371</v>
      </c>
    </row>
    <row r="376" spans="1:1" x14ac:dyDescent="0.25">
      <c r="A376">
        <f t="shared" si="12"/>
        <v>372</v>
      </c>
    </row>
    <row r="377" spans="1:1" x14ac:dyDescent="0.25">
      <c r="A377">
        <f t="shared" si="12"/>
        <v>373</v>
      </c>
    </row>
    <row r="378" spans="1:1" x14ac:dyDescent="0.25">
      <c r="A378">
        <f t="shared" si="12"/>
        <v>374</v>
      </c>
    </row>
    <row r="379" spans="1:1" x14ac:dyDescent="0.25">
      <c r="A379">
        <f t="shared" si="12"/>
        <v>375</v>
      </c>
    </row>
    <row r="380" spans="1:1" x14ac:dyDescent="0.25">
      <c r="A380">
        <f t="shared" si="12"/>
        <v>376</v>
      </c>
    </row>
    <row r="381" spans="1:1" x14ac:dyDescent="0.25">
      <c r="A381">
        <f t="shared" si="12"/>
        <v>377</v>
      </c>
    </row>
    <row r="382" spans="1:1" x14ac:dyDescent="0.25">
      <c r="A382">
        <f t="shared" si="12"/>
        <v>378</v>
      </c>
    </row>
    <row r="383" spans="1:1" x14ac:dyDescent="0.25">
      <c r="A383">
        <f t="shared" si="12"/>
        <v>379</v>
      </c>
    </row>
    <row r="384" spans="1:1" x14ac:dyDescent="0.25">
      <c r="A384">
        <f t="shared" si="12"/>
        <v>380</v>
      </c>
    </row>
    <row r="385" spans="1:1" x14ac:dyDescent="0.25">
      <c r="A385">
        <f t="shared" si="12"/>
        <v>381</v>
      </c>
    </row>
    <row r="386" spans="1:1" x14ac:dyDescent="0.25">
      <c r="A386">
        <f t="shared" si="12"/>
        <v>382</v>
      </c>
    </row>
    <row r="387" spans="1:1" x14ac:dyDescent="0.25">
      <c r="A387">
        <f t="shared" si="12"/>
        <v>383</v>
      </c>
    </row>
    <row r="388" spans="1:1" x14ac:dyDescent="0.25">
      <c r="A388">
        <f t="shared" si="12"/>
        <v>384</v>
      </c>
    </row>
    <row r="389" spans="1:1" x14ac:dyDescent="0.25">
      <c r="A389">
        <f t="shared" si="12"/>
        <v>385</v>
      </c>
    </row>
    <row r="390" spans="1:1" x14ac:dyDescent="0.25">
      <c r="A390">
        <f t="shared" ref="A390:A453" si="13">ROW()-4</f>
        <v>386</v>
      </c>
    </row>
    <row r="391" spans="1:1" x14ac:dyDescent="0.25">
      <c r="A391">
        <f t="shared" si="13"/>
        <v>387</v>
      </c>
    </row>
    <row r="392" spans="1:1" x14ac:dyDescent="0.25">
      <c r="A392">
        <f t="shared" si="13"/>
        <v>388</v>
      </c>
    </row>
    <row r="393" spans="1:1" x14ac:dyDescent="0.25">
      <c r="A393">
        <f t="shared" si="13"/>
        <v>389</v>
      </c>
    </row>
    <row r="394" spans="1:1" x14ac:dyDescent="0.25">
      <c r="A394">
        <f t="shared" si="13"/>
        <v>390</v>
      </c>
    </row>
    <row r="395" spans="1:1" x14ac:dyDescent="0.25">
      <c r="A395">
        <f t="shared" si="13"/>
        <v>391</v>
      </c>
    </row>
    <row r="396" spans="1:1" x14ac:dyDescent="0.25">
      <c r="A396">
        <f t="shared" si="13"/>
        <v>392</v>
      </c>
    </row>
    <row r="397" spans="1:1" x14ac:dyDescent="0.25">
      <c r="A397">
        <f t="shared" si="13"/>
        <v>393</v>
      </c>
    </row>
    <row r="398" spans="1:1" x14ac:dyDescent="0.25">
      <c r="A398">
        <f t="shared" si="13"/>
        <v>394</v>
      </c>
    </row>
    <row r="399" spans="1:1" x14ac:dyDescent="0.25">
      <c r="A399">
        <f t="shared" si="13"/>
        <v>395</v>
      </c>
    </row>
    <row r="400" spans="1:1" x14ac:dyDescent="0.25">
      <c r="A400">
        <f t="shared" si="13"/>
        <v>396</v>
      </c>
    </row>
    <row r="401" spans="1:1" x14ac:dyDescent="0.25">
      <c r="A401">
        <f t="shared" si="13"/>
        <v>397</v>
      </c>
    </row>
    <row r="402" spans="1:1" x14ac:dyDescent="0.25">
      <c r="A402">
        <f t="shared" si="13"/>
        <v>398</v>
      </c>
    </row>
    <row r="403" spans="1:1" x14ac:dyDescent="0.25">
      <c r="A403">
        <f t="shared" si="13"/>
        <v>399</v>
      </c>
    </row>
    <row r="404" spans="1:1" x14ac:dyDescent="0.25">
      <c r="A404">
        <f t="shared" si="13"/>
        <v>400</v>
      </c>
    </row>
    <row r="405" spans="1:1" x14ac:dyDescent="0.25">
      <c r="A405">
        <f t="shared" si="13"/>
        <v>401</v>
      </c>
    </row>
    <row r="406" spans="1:1" x14ac:dyDescent="0.25">
      <c r="A406">
        <f t="shared" si="13"/>
        <v>402</v>
      </c>
    </row>
    <row r="407" spans="1:1" x14ac:dyDescent="0.25">
      <c r="A407">
        <f t="shared" si="13"/>
        <v>403</v>
      </c>
    </row>
    <row r="408" spans="1:1" x14ac:dyDescent="0.25">
      <c r="A408">
        <f t="shared" si="13"/>
        <v>404</v>
      </c>
    </row>
    <row r="409" spans="1:1" x14ac:dyDescent="0.25">
      <c r="A409">
        <f t="shared" si="13"/>
        <v>405</v>
      </c>
    </row>
    <row r="410" spans="1:1" x14ac:dyDescent="0.25">
      <c r="A410">
        <f t="shared" si="13"/>
        <v>406</v>
      </c>
    </row>
    <row r="411" spans="1:1" x14ac:dyDescent="0.25">
      <c r="A411">
        <f t="shared" si="13"/>
        <v>407</v>
      </c>
    </row>
    <row r="412" spans="1:1" x14ac:dyDescent="0.25">
      <c r="A412">
        <f t="shared" si="13"/>
        <v>408</v>
      </c>
    </row>
    <row r="413" spans="1:1" x14ac:dyDescent="0.25">
      <c r="A413">
        <f t="shared" si="13"/>
        <v>409</v>
      </c>
    </row>
    <row r="414" spans="1:1" x14ac:dyDescent="0.25">
      <c r="A414">
        <f t="shared" si="13"/>
        <v>410</v>
      </c>
    </row>
    <row r="415" spans="1:1" x14ac:dyDescent="0.25">
      <c r="A415">
        <f t="shared" si="13"/>
        <v>411</v>
      </c>
    </row>
    <row r="416" spans="1:1" x14ac:dyDescent="0.25">
      <c r="A416">
        <f t="shared" si="13"/>
        <v>412</v>
      </c>
    </row>
    <row r="417" spans="1:1" x14ac:dyDescent="0.25">
      <c r="A417">
        <f t="shared" si="13"/>
        <v>413</v>
      </c>
    </row>
    <row r="418" spans="1:1" x14ac:dyDescent="0.25">
      <c r="A418">
        <f t="shared" si="13"/>
        <v>414</v>
      </c>
    </row>
    <row r="419" spans="1:1" x14ac:dyDescent="0.25">
      <c r="A419">
        <f t="shared" si="13"/>
        <v>415</v>
      </c>
    </row>
    <row r="420" spans="1:1" x14ac:dyDescent="0.25">
      <c r="A420">
        <f t="shared" si="13"/>
        <v>416</v>
      </c>
    </row>
    <row r="421" spans="1:1" x14ac:dyDescent="0.25">
      <c r="A421">
        <f t="shared" si="13"/>
        <v>417</v>
      </c>
    </row>
    <row r="422" spans="1:1" x14ac:dyDescent="0.25">
      <c r="A422">
        <f t="shared" si="13"/>
        <v>418</v>
      </c>
    </row>
    <row r="423" spans="1:1" x14ac:dyDescent="0.25">
      <c r="A423">
        <f t="shared" si="13"/>
        <v>419</v>
      </c>
    </row>
    <row r="424" spans="1:1" x14ac:dyDescent="0.25">
      <c r="A424">
        <f t="shared" si="13"/>
        <v>420</v>
      </c>
    </row>
    <row r="425" spans="1:1" x14ac:dyDescent="0.25">
      <c r="A425">
        <f t="shared" si="13"/>
        <v>421</v>
      </c>
    </row>
    <row r="426" spans="1:1" x14ac:dyDescent="0.25">
      <c r="A426">
        <f t="shared" si="13"/>
        <v>422</v>
      </c>
    </row>
    <row r="427" spans="1:1" x14ac:dyDescent="0.25">
      <c r="A427">
        <f t="shared" si="13"/>
        <v>423</v>
      </c>
    </row>
    <row r="428" spans="1:1" x14ac:dyDescent="0.25">
      <c r="A428">
        <f t="shared" si="13"/>
        <v>424</v>
      </c>
    </row>
    <row r="429" spans="1:1" x14ac:dyDescent="0.25">
      <c r="A429">
        <f t="shared" si="13"/>
        <v>425</v>
      </c>
    </row>
    <row r="430" spans="1:1" x14ac:dyDescent="0.25">
      <c r="A430">
        <f t="shared" si="13"/>
        <v>426</v>
      </c>
    </row>
    <row r="431" spans="1:1" x14ac:dyDescent="0.25">
      <c r="A431">
        <f t="shared" si="13"/>
        <v>427</v>
      </c>
    </row>
    <row r="432" spans="1:1" x14ac:dyDescent="0.25">
      <c r="A432">
        <f t="shared" si="13"/>
        <v>428</v>
      </c>
    </row>
    <row r="433" spans="1:1" x14ac:dyDescent="0.25">
      <c r="A433">
        <f t="shared" si="13"/>
        <v>429</v>
      </c>
    </row>
    <row r="434" spans="1:1" x14ac:dyDescent="0.25">
      <c r="A434">
        <f t="shared" si="13"/>
        <v>430</v>
      </c>
    </row>
    <row r="435" spans="1:1" x14ac:dyDescent="0.25">
      <c r="A435">
        <f t="shared" si="13"/>
        <v>431</v>
      </c>
    </row>
    <row r="436" spans="1:1" x14ac:dyDescent="0.25">
      <c r="A436">
        <f t="shared" si="13"/>
        <v>432</v>
      </c>
    </row>
    <row r="437" spans="1:1" x14ac:dyDescent="0.25">
      <c r="A437">
        <f t="shared" si="13"/>
        <v>433</v>
      </c>
    </row>
    <row r="438" spans="1:1" x14ac:dyDescent="0.25">
      <c r="A438">
        <f t="shared" si="13"/>
        <v>434</v>
      </c>
    </row>
    <row r="439" spans="1:1" x14ac:dyDescent="0.25">
      <c r="A439">
        <f t="shared" si="13"/>
        <v>435</v>
      </c>
    </row>
    <row r="440" spans="1:1" x14ac:dyDescent="0.25">
      <c r="A440">
        <f t="shared" si="13"/>
        <v>436</v>
      </c>
    </row>
    <row r="441" spans="1:1" x14ac:dyDescent="0.25">
      <c r="A441">
        <f t="shared" si="13"/>
        <v>437</v>
      </c>
    </row>
    <row r="442" spans="1:1" x14ac:dyDescent="0.25">
      <c r="A442">
        <f t="shared" si="13"/>
        <v>438</v>
      </c>
    </row>
    <row r="443" spans="1:1" x14ac:dyDescent="0.25">
      <c r="A443">
        <f t="shared" si="13"/>
        <v>439</v>
      </c>
    </row>
    <row r="444" spans="1:1" x14ac:dyDescent="0.25">
      <c r="A444">
        <f t="shared" si="13"/>
        <v>440</v>
      </c>
    </row>
    <row r="445" spans="1:1" x14ac:dyDescent="0.25">
      <c r="A445">
        <f t="shared" si="13"/>
        <v>441</v>
      </c>
    </row>
    <row r="446" spans="1:1" x14ac:dyDescent="0.25">
      <c r="A446">
        <f t="shared" si="13"/>
        <v>442</v>
      </c>
    </row>
    <row r="447" spans="1:1" x14ac:dyDescent="0.25">
      <c r="A447">
        <f t="shared" si="13"/>
        <v>443</v>
      </c>
    </row>
    <row r="448" spans="1:1" x14ac:dyDescent="0.25">
      <c r="A448">
        <f t="shared" si="13"/>
        <v>444</v>
      </c>
    </row>
    <row r="449" spans="1:1" x14ac:dyDescent="0.25">
      <c r="A449">
        <f t="shared" si="13"/>
        <v>445</v>
      </c>
    </row>
    <row r="450" spans="1:1" x14ac:dyDescent="0.25">
      <c r="A450">
        <f t="shared" si="13"/>
        <v>446</v>
      </c>
    </row>
    <row r="451" spans="1:1" x14ac:dyDescent="0.25">
      <c r="A451">
        <f t="shared" si="13"/>
        <v>447</v>
      </c>
    </row>
    <row r="452" spans="1:1" x14ac:dyDescent="0.25">
      <c r="A452">
        <f t="shared" si="13"/>
        <v>448</v>
      </c>
    </row>
    <row r="453" spans="1:1" x14ac:dyDescent="0.25">
      <c r="A453">
        <f t="shared" si="13"/>
        <v>449</v>
      </c>
    </row>
    <row r="454" spans="1:1" x14ac:dyDescent="0.25">
      <c r="A454">
        <f t="shared" ref="A454:A517" si="14">ROW()-4</f>
        <v>450</v>
      </c>
    </row>
    <row r="455" spans="1:1" x14ac:dyDescent="0.25">
      <c r="A455">
        <f t="shared" si="14"/>
        <v>451</v>
      </c>
    </row>
    <row r="456" spans="1:1" x14ac:dyDescent="0.25">
      <c r="A456">
        <f t="shared" si="14"/>
        <v>452</v>
      </c>
    </row>
    <row r="457" spans="1:1" x14ac:dyDescent="0.25">
      <c r="A457">
        <f t="shared" si="14"/>
        <v>453</v>
      </c>
    </row>
    <row r="458" spans="1:1" x14ac:dyDescent="0.25">
      <c r="A458">
        <f t="shared" si="14"/>
        <v>454</v>
      </c>
    </row>
    <row r="459" spans="1:1" x14ac:dyDescent="0.25">
      <c r="A459">
        <f t="shared" si="14"/>
        <v>455</v>
      </c>
    </row>
    <row r="460" spans="1:1" x14ac:dyDescent="0.25">
      <c r="A460">
        <f t="shared" si="14"/>
        <v>456</v>
      </c>
    </row>
    <row r="461" spans="1:1" x14ac:dyDescent="0.25">
      <c r="A461">
        <f t="shared" si="14"/>
        <v>457</v>
      </c>
    </row>
    <row r="462" spans="1:1" x14ac:dyDescent="0.25">
      <c r="A462">
        <f t="shared" si="14"/>
        <v>458</v>
      </c>
    </row>
    <row r="463" spans="1:1" x14ac:dyDescent="0.25">
      <c r="A463">
        <f t="shared" si="14"/>
        <v>459</v>
      </c>
    </row>
    <row r="464" spans="1:1" x14ac:dyDescent="0.25">
      <c r="A464">
        <f t="shared" si="14"/>
        <v>460</v>
      </c>
    </row>
    <row r="465" spans="1:1" x14ac:dyDescent="0.25">
      <c r="A465">
        <f t="shared" si="14"/>
        <v>461</v>
      </c>
    </row>
    <row r="466" spans="1:1" x14ac:dyDescent="0.25">
      <c r="A466">
        <f t="shared" si="14"/>
        <v>462</v>
      </c>
    </row>
    <row r="467" spans="1:1" x14ac:dyDescent="0.25">
      <c r="A467">
        <f t="shared" si="14"/>
        <v>463</v>
      </c>
    </row>
    <row r="468" spans="1:1" x14ac:dyDescent="0.25">
      <c r="A468">
        <f t="shared" si="14"/>
        <v>464</v>
      </c>
    </row>
    <row r="469" spans="1:1" x14ac:dyDescent="0.25">
      <c r="A469">
        <f t="shared" si="14"/>
        <v>465</v>
      </c>
    </row>
    <row r="470" spans="1:1" x14ac:dyDescent="0.25">
      <c r="A470">
        <f t="shared" si="14"/>
        <v>466</v>
      </c>
    </row>
    <row r="471" spans="1:1" x14ac:dyDescent="0.25">
      <c r="A471">
        <f t="shared" si="14"/>
        <v>467</v>
      </c>
    </row>
    <row r="472" spans="1:1" x14ac:dyDescent="0.25">
      <c r="A472">
        <f t="shared" si="14"/>
        <v>468</v>
      </c>
    </row>
    <row r="473" spans="1:1" x14ac:dyDescent="0.25">
      <c r="A473">
        <f t="shared" si="14"/>
        <v>469</v>
      </c>
    </row>
    <row r="474" spans="1:1" x14ac:dyDescent="0.25">
      <c r="A474">
        <f t="shared" si="14"/>
        <v>470</v>
      </c>
    </row>
    <row r="475" spans="1:1" x14ac:dyDescent="0.25">
      <c r="A475">
        <f t="shared" si="14"/>
        <v>471</v>
      </c>
    </row>
    <row r="476" spans="1:1" x14ac:dyDescent="0.25">
      <c r="A476">
        <f t="shared" si="14"/>
        <v>472</v>
      </c>
    </row>
    <row r="477" spans="1:1" x14ac:dyDescent="0.25">
      <c r="A477">
        <f t="shared" si="14"/>
        <v>473</v>
      </c>
    </row>
    <row r="478" spans="1:1" x14ac:dyDescent="0.25">
      <c r="A478">
        <f t="shared" si="14"/>
        <v>474</v>
      </c>
    </row>
    <row r="479" spans="1:1" x14ac:dyDescent="0.25">
      <c r="A479">
        <f t="shared" si="14"/>
        <v>475</v>
      </c>
    </row>
    <row r="480" spans="1:1" x14ac:dyDescent="0.25">
      <c r="A480">
        <f t="shared" si="14"/>
        <v>476</v>
      </c>
    </row>
    <row r="481" spans="1:1" x14ac:dyDescent="0.25">
      <c r="A481">
        <f t="shared" si="14"/>
        <v>477</v>
      </c>
    </row>
    <row r="482" spans="1:1" x14ac:dyDescent="0.25">
      <c r="A482">
        <f t="shared" si="14"/>
        <v>478</v>
      </c>
    </row>
    <row r="483" spans="1:1" x14ac:dyDescent="0.25">
      <c r="A483">
        <f t="shared" si="14"/>
        <v>479</v>
      </c>
    </row>
    <row r="484" spans="1:1" x14ac:dyDescent="0.25">
      <c r="A484">
        <f t="shared" si="14"/>
        <v>480</v>
      </c>
    </row>
    <row r="485" spans="1:1" x14ac:dyDescent="0.25">
      <c r="A485">
        <f t="shared" si="14"/>
        <v>481</v>
      </c>
    </row>
    <row r="486" spans="1:1" x14ac:dyDescent="0.25">
      <c r="A486">
        <f t="shared" si="14"/>
        <v>482</v>
      </c>
    </row>
    <row r="487" spans="1:1" x14ac:dyDescent="0.25">
      <c r="A487">
        <f t="shared" si="14"/>
        <v>483</v>
      </c>
    </row>
    <row r="488" spans="1:1" x14ac:dyDescent="0.25">
      <c r="A488">
        <f t="shared" si="14"/>
        <v>484</v>
      </c>
    </row>
    <row r="489" spans="1:1" x14ac:dyDescent="0.25">
      <c r="A489">
        <f t="shared" si="14"/>
        <v>485</v>
      </c>
    </row>
    <row r="490" spans="1:1" x14ac:dyDescent="0.25">
      <c r="A490">
        <f t="shared" si="14"/>
        <v>486</v>
      </c>
    </row>
    <row r="491" spans="1:1" x14ac:dyDescent="0.25">
      <c r="A491">
        <f t="shared" si="14"/>
        <v>487</v>
      </c>
    </row>
    <row r="492" spans="1:1" x14ac:dyDescent="0.25">
      <c r="A492">
        <f t="shared" si="14"/>
        <v>488</v>
      </c>
    </row>
    <row r="493" spans="1:1" x14ac:dyDescent="0.25">
      <c r="A493">
        <f t="shared" si="14"/>
        <v>489</v>
      </c>
    </row>
    <row r="494" spans="1:1" x14ac:dyDescent="0.25">
      <c r="A494">
        <f t="shared" si="14"/>
        <v>490</v>
      </c>
    </row>
    <row r="495" spans="1:1" x14ac:dyDescent="0.25">
      <c r="A495">
        <f t="shared" si="14"/>
        <v>491</v>
      </c>
    </row>
    <row r="496" spans="1:1" x14ac:dyDescent="0.25">
      <c r="A496">
        <f t="shared" si="14"/>
        <v>492</v>
      </c>
    </row>
    <row r="497" spans="1:1" x14ac:dyDescent="0.25">
      <c r="A497">
        <f t="shared" si="14"/>
        <v>493</v>
      </c>
    </row>
    <row r="498" spans="1:1" x14ac:dyDescent="0.25">
      <c r="A498">
        <f t="shared" si="14"/>
        <v>494</v>
      </c>
    </row>
    <row r="499" spans="1:1" x14ac:dyDescent="0.25">
      <c r="A499">
        <f t="shared" si="14"/>
        <v>495</v>
      </c>
    </row>
    <row r="500" spans="1:1" x14ac:dyDescent="0.25">
      <c r="A500">
        <f t="shared" si="14"/>
        <v>496</v>
      </c>
    </row>
    <row r="501" spans="1:1" x14ac:dyDescent="0.25">
      <c r="A501">
        <f t="shared" si="14"/>
        <v>497</v>
      </c>
    </row>
    <row r="502" spans="1:1" x14ac:dyDescent="0.25">
      <c r="A502">
        <f t="shared" si="14"/>
        <v>498</v>
      </c>
    </row>
    <row r="503" spans="1:1" x14ac:dyDescent="0.25">
      <c r="A503">
        <f t="shared" si="14"/>
        <v>499</v>
      </c>
    </row>
    <row r="504" spans="1:1" x14ac:dyDescent="0.25">
      <c r="A504">
        <f t="shared" si="14"/>
        <v>500</v>
      </c>
    </row>
    <row r="505" spans="1:1" x14ac:dyDescent="0.25">
      <c r="A505">
        <f t="shared" si="14"/>
        <v>501</v>
      </c>
    </row>
    <row r="506" spans="1:1" x14ac:dyDescent="0.25">
      <c r="A506">
        <f t="shared" si="14"/>
        <v>502</v>
      </c>
    </row>
    <row r="507" spans="1:1" x14ac:dyDescent="0.25">
      <c r="A507">
        <f t="shared" si="14"/>
        <v>503</v>
      </c>
    </row>
    <row r="508" spans="1:1" x14ac:dyDescent="0.25">
      <c r="A508">
        <f t="shared" si="14"/>
        <v>504</v>
      </c>
    </row>
    <row r="509" spans="1:1" x14ac:dyDescent="0.25">
      <c r="A509">
        <f t="shared" si="14"/>
        <v>505</v>
      </c>
    </row>
    <row r="510" spans="1:1" x14ac:dyDescent="0.25">
      <c r="A510">
        <f t="shared" si="14"/>
        <v>506</v>
      </c>
    </row>
    <row r="511" spans="1:1" x14ac:dyDescent="0.25">
      <c r="A511">
        <f t="shared" si="14"/>
        <v>507</v>
      </c>
    </row>
    <row r="512" spans="1:1" x14ac:dyDescent="0.25">
      <c r="A512">
        <f t="shared" si="14"/>
        <v>508</v>
      </c>
    </row>
    <row r="513" spans="1:1" x14ac:dyDescent="0.25">
      <c r="A513">
        <f t="shared" si="14"/>
        <v>509</v>
      </c>
    </row>
    <row r="514" spans="1:1" x14ac:dyDescent="0.25">
      <c r="A514">
        <f t="shared" si="14"/>
        <v>510</v>
      </c>
    </row>
    <row r="515" spans="1:1" x14ac:dyDescent="0.25">
      <c r="A515">
        <f t="shared" si="14"/>
        <v>511</v>
      </c>
    </row>
    <row r="516" spans="1:1" x14ac:dyDescent="0.25">
      <c r="A516">
        <f t="shared" si="14"/>
        <v>512</v>
      </c>
    </row>
    <row r="517" spans="1:1" x14ac:dyDescent="0.25">
      <c r="A517">
        <f t="shared" si="14"/>
        <v>513</v>
      </c>
    </row>
    <row r="518" spans="1:1" x14ac:dyDescent="0.25">
      <c r="A518">
        <f t="shared" ref="A518:A570" si="15">ROW()-4</f>
        <v>514</v>
      </c>
    </row>
    <row r="519" spans="1:1" x14ac:dyDescent="0.25">
      <c r="A519">
        <f t="shared" si="15"/>
        <v>515</v>
      </c>
    </row>
    <row r="520" spans="1:1" x14ac:dyDescent="0.25">
      <c r="A520">
        <f t="shared" si="15"/>
        <v>516</v>
      </c>
    </row>
    <row r="521" spans="1:1" x14ac:dyDescent="0.25">
      <c r="A521">
        <f t="shared" si="15"/>
        <v>517</v>
      </c>
    </row>
    <row r="522" spans="1:1" x14ac:dyDescent="0.25">
      <c r="A522">
        <f t="shared" si="15"/>
        <v>518</v>
      </c>
    </row>
    <row r="523" spans="1:1" x14ac:dyDescent="0.25">
      <c r="A523">
        <f t="shared" si="15"/>
        <v>519</v>
      </c>
    </row>
    <row r="524" spans="1:1" x14ac:dyDescent="0.25">
      <c r="A524">
        <f t="shared" si="15"/>
        <v>520</v>
      </c>
    </row>
    <row r="525" spans="1:1" x14ac:dyDescent="0.25">
      <c r="A525">
        <f t="shared" si="15"/>
        <v>521</v>
      </c>
    </row>
    <row r="526" spans="1:1" x14ac:dyDescent="0.25">
      <c r="A526">
        <f t="shared" si="15"/>
        <v>522</v>
      </c>
    </row>
    <row r="527" spans="1:1" x14ac:dyDescent="0.25">
      <c r="A527">
        <f t="shared" si="15"/>
        <v>523</v>
      </c>
    </row>
    <row r="528" spans="1:1" x14ac:dyDescent="0.25">
      <c r="A528">
        <f t="shared" si="15"/>
        <v>524</v>
      </c>
    </row>
    <row r="529" spans="1:1" x14ac:dyDescent="0.25">
      <c r="A529">
        <f t="shared" si="15"/>
        <v>525</v>
      </c>
    </row>
    <row r="530" spans="1:1" x14ac:dyDescent="0.25">
      <c r="A530">
        <f t="shared" si="15"/>
        <v>526</v>
      </c>
    </row>
    <row r="531" spans="1:1" x14ac:dyDescent="0.25">
      <c r="A531">
        <f t="shared" si="15"/>
        <v>527</v>
      </c>
    </row>
    <row r="532" spans="1:1" x14ac:dyDescent="0.25">
      <c r="A532">
        <f t="shared" si="15"/>
        <v>528</v>
      </c>
    </row>
    <row r="533" spans="1:1" x14ac:dyDescent="0.25">
      <c r="A533">
        <f t="shared" si="15"/>
        <v>529</v>
      </c>
    </row>
    <row r="534" spans="1:1" x14ac:dyDescent="0.25">
      <c r="A534">
        <f t="shared" si="15"/>
        <v>530</v>
      </c>
    </row>
    <row r="535" spans="1:1" x14ac:dyDescent="0.25">
      <c r="A535">
        <f t="shared" si="15"/>
        <v>531</v>
      </c>
    </row>
    <row r="536" spans="1:1" x14ac:dyDescent="0.25">
      <c r="A536">
        <f t="shared" si="15"/>
        <v>532</v>
      </c>
    </row>
    <row r="537" spans="1:1" x14ac:dyDescent="0.25">
      <c r="A537">
        <f t="shared" si="15"/>
        <v>533</v>
      </c>
    </row>
    <row r="538" spans="1:1" x14ac:dyDescent="0.25">
      <c r="A538">
        <f t="shared" si="15"/>
        <v>534</v>
      </c>
    </row>
    <row r="539" spans="1:1" x14ac:dyDescent="0.25">
      <c r="A539">
        <f t="shared" si="15"/>
        <v>535</v>
      </c>
    </row>
    <row r="540" spans="1:1" x14ac:dyDescent="0.25">
      <c r="A540">
        <f t="shared" si="15"/>
        <v>536</v>
      </c>
    </row>
    <row r="541" spans="1:1" x14ac:dyDescent="0.25">
      <c r="A541">
        <f t="shared" si="15"/>
        <v>537</v>
      </c>
    </row>
    <row r="542" spans="1:1" x14ac:dyDescent="0.25">
      <c r="A542">
        <f t="shared" si="15"/>
        <v>538</v>
      </c>
    </row>
    <row r="543" spans="1:1" x14ac:dyDescent="0.25">
      <c r="A543">
        <f t="shared" si="15"/>
        <v>539</v>
      </c>
    </row>
    <row r="544" spans="1:1" x14ac:dyDescent="0.25">
      <c r="A544">
        <f t="shared" si="15"/>
        <v>540</v>
      </c>
    </row>
    <row r="545" spans="1:1" x14ac:dyDescent="0.25">
      <c r="A545">
        <f t="shared" si="15"/>
        <v>541</v>
      </c>
    </row>
    <row r="546" spans="1:1" x14ac:dyDescent="0.25">
      <c r="A546">
        <f t="shared" si="15"/>
        <v>542</v>
      </c>
    </row>
    <row r="547" spans="1:1" x14ac:dyDescent="0.25">
      <c r="A547">
        <f t="shared" si="15"/>
        <v>543</v>
      </c>
    </row>
    <row r="548" spans="1:1" x14ac:dyDescent="0.25">
      <c r="A548">
        <f t="shared" si="15"/>
        <v>544</v>
      </c>
    </row>
    <row r="549" spans="1:1" x14ac:dyDescent="0.25">
      <c r="A549">
        <f t="shared" si="15"/>
        <v>545</v>
      </c>
    </row>
    <row r="550" spans="1:1" x14ac:dyDescent="0.25">
      <c r="A550">
        <f t="shared" si="15"/>
        <v>546</v>
      </c>
    </row>
    <row r="551" spans="1:1" x14ac:dyDescent="0.25">
      <c r="A551">
        <f t="shared" si="15"/>
        <v>547</v>
      </c>
    </row>
    <row r="552" spans="1:1" x14ac:dyDescent="0.25">
      <c r="A552">
        <f t="shared" si="15"/>
        <v>548</v>
      </c>
    </row>
    <row r="553" spans="1:1" x14ac:dyDescent="0.25">
      <c r="A553">
        <f t="shared" si="15"/>
        <v>549</v>
      </c>
    </row>
    <row r="554" spans="1:1" x14ac:dyDescent="0.25">
      <c r="A554">
        <f t="shared" si="15"/>
        <v>550</v>
      </c>
    </row>
    <row r="555" spans="1:1" x14ac:dyDescent="0.25">
      <c r="A555">
        <f t="shared" si="15"/>
        <v>551</v>
      </c>
    </row>
    <row r="556" spans="1:1" x14ac:dyDescent="0.25">
      <c r="A556">
        <f t="shared" si="15"/>
        <v>552</v>
      </c>
    </row>
    <row r="557" spans="1:1" x14ac:dyDescent="0.25">
      <c r="A557">
        <f t="shared" si="15"/>
        <v>553</v>
      </c>
    </row>
    <row r="558" spans="1:1" x14ac:dyDescent="0.25">
      <c r="A558">
        <f t="shared" si="15"/>
        <v>554</v>
      </c>
    </row>
    <row r="559" spans="1:1" x14ac:dyDescent="0.25">
      <c r="A559">
        <f t="shared" si="15"/>
        <v>555</v>
      </c>
    </row>
    <row r="560" spans="1:1" x14ac:dyDescent="0.25">
      <c r="A560">
        <f t="shared" si="15"/>
        <v>556</v>
      </c>
    </row>
    <row r="561" spans="1:1" x14ac:dyDescent="0.25">
      <c r="A561">
        <f t="shared" si="15"/>
        <v>557</v>
      </c>
    </row>
    <row r="562" spans="1:1" x14ac:dyDescent="0.25">
      <c r="A562">
        <f t="shared" si="15"/>
        <v>558</v>
      </c>
    </row>
    <row r="563" spans="1:1" x14ac:dyDescent="0.25">
      <c r="A563">
        <f t="shared" si="15"/>
        <v>559</v>
      </c>
    </row>
    <row r="564" spans="1:1" x14ac:dyDescent="0.25">
      <c r="A564">
        <f t="shared" si="15"/>
        <v>560</v>
      </c>
    </row>
    <row r="565" spans="1:1" x14ac:dyDescent="0.25">
      <c r="A565">
        <f t="shared" si="15"/>
        <v>561</v>
      </c>
    </row>
    <row r="566" spans="1:1" x14ac:dyDescent="0.25">
      <c r="A566">
        <f t="shared" si="15"/>
        <v>562</v>
      </c>
    </row>
    <row r="567" spans="1:1" x14ac:dyDescent="0.25">
      <c r="A567">
        <f t="shared" si="15"/>
        <v>563</v>
      </c>
    </row>
    <row r="568" spans="1:1" x14ac:dyDescent="0.25">
      <c r="A568">
        <f t="shared" si="15"/>
        <v>564</v>
      </c>
    </row>
    <row r="569" spans="1:1" x14ac:dyDescent="0.25">
      <c r="A569">
        <f t="shared" si="15"/>
        <v>565</v>
      </c>
    </row>
    <row r="570" spans="1:1" x14ac:dyDescent="0.25">
      <c r="A570">
        <f t="shared" si="15"/>
        <v>566</v>
      </c>
    </row>
  </sheetData>
  <mergeCells count="14">
    <mergeCell ref="AJ2:AM2"/>
    <mergeCell ref="AN2:AP2"/>
    <mergeCell ref="AA1:AI1"/>
    <mergeCell ref="AB2:AE2"/>
    <mergeCell ref="AF2:AH2"/>
    <mergeCell ref="S2:V2"/>
    <mergeCell ref="W2:Y2"/>
    <mergeCell ref="R1:Z1"/>
    <mergeCell ref="C2:F2"/>
    <mergeCell ref="G2:I2"/>
    <mergeCell ref="B1:I1"/>
    <mergeCell ref="J1:Q1"/>
    <mergeCell ref="K2:N2"/>
    <mergeCell ref="O2:Q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workbookViewId="0">
      <selection activeCell="H24" sqref="H24"/>
    </sheetView>
  </sheetViews>
  <sheetFormatPr defaultRowHeight="15" x14ac:dyDescent="0.25"/>
  <cols>
    <col min="2" max="2" width="18.5703125" bestFit="1" customWidth="1"/>
    <col min="3" max="3" width="11.28515625" bestFit="1" customWidth="1"/>
    <col min="4" max="4" width="10.7109375" bestFit="1" customWidth="1"/>
    <col min="5" max="5" width="11.28515625" bestFit="1" customWidth="1"/>
    <col min="6" max="6" width="15.7109375" bestFit="1" customWidth="1"/>
    <col min="7" max="9" width="9.5703125" bestFit="1" customWidth="1"/>
    <col min="10" max="11" width="14.42578125" bestFit="1" customWidth="1"/>
    <col min="12" max="13" width="11.28515625" bestFit="1" customWidth="1"/>
    <col min="14" max="14" width="7.5703125" bestFit="1" customWidth="1"/>
    <col min="15" max="15" width="7.140625" bestFit="1" customWidth="1"/>
    <col min="16" max="16" width="8.42578125" bestFit="1" customWidth="1"/>
    <col min="17" max="17" width="7.140625" bestFit="1" customWidth="1"/>
  </cols>
  <sheetData>
    <row r="1" spans="1:21" x14ac:dyDescent="0.25">
      <c r="B1" s="9" t="s">
        <v>3</v>
      </c>
      <c r="C1" s="9"/>
      <c r="D1" s="9"/>
      <c r="E1" s="9"/>
      <c r="F1" s="1" t="str">
        <f>Results!J1</f>
        <v>MUX-SEM</v>
      </c>
      <c r="J1" t="str">
        <f>Results!R1</f>
        <v>MUX-INDEX-RA</v>
      </c>
      <c r="N1" t="s">
        <v>104</v>
      </c>
      <c r="R1" t="s">
        <v>128</v>
      </c>
    </row>
    <row r="2" spans="1:21" x14ac:dyDescent="0.25">
      <c r="B2" s="9" t="s">
        <v>126</v>
      </c>
      <c r="C2" s="9"/>
      <c r="D2" s="9" t="s">
        <v>127</v>
      </c>
      <c r="E2" s="9"/>
      <c r="F2" t="s">
        <v>126</v>
      </c>
      <c r="H2" t="s">
        <v>127</v>
      </c>
      <c r="J2" t="s">
        <v>126</v>
      </c>
      <c r="L2" t="s">
        <v>127</v>
      </c>
      <c r="N2" t="s">
        <v>126</v>
      </c>
      <c r="P2" t="s">
        <v>127</v>
      </c>
      <c r="R2" t="s">
        <v>126</v>
      </c>
      <c r="T2" t="s">
        <v>127</v>
      </c>
    </row>
    <row r="3" spans="1:21" s="4" customFormat="1" ht="33" customHeight="1" x14ac:dyDescent="0.25">
      <c r="A3" s="4" t="s">
        <v>2</v>
      </c>
      <c r="B3" s="5" t="str">
        <f>CONCATENATE(B1," ",Results!$C$2)</f>
        <v>NFA Passel</v>
      </c>
      <c r="C3" s="5" t="str">
        <f>CONCATENATE(B1," ",Results!$G$2)</f>
        <v>NFA Phaver</v>
      </c>
      <c r="D3" s="5" t="str">
        <f>CONCATENATE(B1," ",Results!$C$2)</f>
        <v>NFA Passel</v>
      </c>
      <c r="E3" s="5" t="str">
        <f>CONCATENATE(B1," ",Results!$G$2)</f>
        <v>NFA Phaver</v>
      </c>
      <c r="F3" s="5" t="str">
        <f>CONCATENATE(F1," ",Results!$C$2)</f>
        <v>MUX-SEM Passel</v>
      </c>
      <c r="G3" s="5" t="str">
        <f>CONCATENATE(F1," ",Results!$G$2)</f>
        <v>MUX-SEM Phaver</v>
      </c>
      <c r="H3" s="5" t="str">
        <f>CONCATENATE(F1," ",Results!$C$2)</f>
        <v>MUX-SEM Passel</v>
      </c>
      <c r="I3" s="5" t="str">
        <f>CONCATENATE(F1," ",Results!$G$2)</f>
        <v>MUX-SEM Phaver</v>
      </c>
      <c r="J3" s="5" t="str">
        <f>CONCATENATE(J1," ",Results!$C$2)</f>
        <v>MUX-INDEX-RA Passel</v>
      </c>
      <c r="K3" s="5" t="str">
        <f>CONCATENATE(J1," ",Results!$G$2)</f>
        <v>MUX-INDEX-RA Phaver</v>
      </c>
      <c r="L3" s="5" t="str">
        <f>CONCATENATE(J1," ",Results!$C$2)</f>
        <v>MUX-INDEX-RA Passel</v>
      </c>
      <c r="M3" s="5" t="str">
        <f>CONCATENATE(J1," ",Results!$G$2)</f>
        <v>MUX-INDEX-RA Phaver</v>
      </c>
      <c r="N3" s="5" t="str">
        <f>CONCATENATE(N1," ",Results!$C$2)</f>
        <v>SSATS Passel</v>
      </c>
      <c r="O3" s="5" t="str">
        <f>CONCATENATE(N1," ",Results!$G$2)</f>
        <v>SSATS Phaver</v>
      </c>
      <c r="P3" s="5" t="str">
        <f>CONCATENATE(N1," ",Results!$C$2)</f>
        <v>SSATS Passel</v>
      </c>
      <c r="Q3" s="5" t="str">
        <f>CONCATENATE(N1," ",Results!$G$2)</f>
        <v>SSATS Phaver</v>
      </c>
      <c r="R3" s="5" t="str">
        <f>CONCATENATE(R1," ",Results!$C$2)</f>
        <v>MUX-SEM-RA Passel</v>
      </c>
      <c r="S3" s="5" t="str">
        <f>CONCATENATE(R1," ",Results!$G$2)</f>
        <v>MUX-SEM-RA Phaver</v>
      </c>
      <c r="T3" s="5" t="str">
        <f>CONCATENATE(R1," ",Results!$C$2)</f>
        <v>MUX-SEM-RA Passel</v>
      </c>
      <c r="U3" s="5" t="str">
        <f>CONCATENATE(R1," ",Results!$G$2)</f>
        <v>MUX-SEM-RA Phaver</v>
      </c>
    </row>
    <row r="4" spans="1:21" x14ac:dyDescent="0.25">
      <c r="A4">
        <f>ROW()-3</f>
        <v>1</v>
      </c>
      <c r="B4" s="1">
        <f>IF(NOT(ISBLANK(Results!C5)),Results!C5,"")</f>
        <v>1.61</v>
      </c>
      <c r="C4" s="1">
        <f>IF(NOT(ISBLANK(Results!G5)),Results!G5,"")</f>
        <v>0.1</v>
      </c>
      <c r="D4" s="1">
        <f>IF(NOT(ISBLANK(Results!D5)),Results!D5,"")</f>
        <v>68.9453125</v>
      </c>
      <c r="E4" s="1">
        <f>IF(NOT(ISBLANK(Results!H5)),Results!H5,"")</f>
        <v>1.9609375</v>
      </c>
      <c r="F4" s="1">
        <f>IF(NOT(ISBLANK(Results!K5)),Results!K5,"")</f>
        <v>1.1100000000000001</v>
      </c>
      <c r="G4" s="1">
        <f>IF(NOT(ISBLANK(Results!O5)),Results!O5,"")</f>
        <v>0.1</v>
      </c>
      <c r="H4" s="1">
        <f>IF(NOT(ISBLANK(Results!L5)),Results!L5,"")</f>
        <v>68.0390625</v>
      </c>
      <c r="I4" s="1">
        <f>IF(NOT(ISBLANK(Results!P5)),Results!P5,"")</f>
        <v>1.9609375</v>
      </c>
      <c r="J4" s="1">
        <f>IF(NOT(ISBLANK(Results!S5)),Results!S5,"")</f>
        <v>1.21</v>
      </c>
      <c r="K4" s="1">
        <f>IF(NOT(ISBLANK(Results!W5)),Results!W5,"")</f>
        <v>0.1</v>
      </c>
      <c r="L4" s="1">
        <f>IF(NOT(ISBLANK(Results!T5)),Results!T5,"")</f>
        <v>68.41796875</v>
      </c>
      <c r="M4" s="1">
        <f>IF(NOT(ISBLANK(Results!X5)),Results!X5,"")</f>
        <v>1.95703125</v>
      </c>
      <c r="N4" s="1">
        <f>IF(NOT(ISBLANK(Results!AB5)),Results!AB5,"")</f>
        <v>1.72</v>
      </c>
      <c r="O4" s="1">
        <f>IF(NOT(ISBLANK(Results!AF5)),Results!AF5,"")</f>
        <v>0.1</v>
      </c>
      <c r="P4" s="1">
        <f>IF(NOT(ISBLANK(Results!AC5)),Results!AC5,"")</f>
        <v>71.109375</v>
      </c>
      <c r="Q4" s="1">
        <f>IF(NOT(ISBLANK(Results!AG5)),Results!AG5,"")</f>
        <v>1.95703125</v>
      </c>
      <c r="R4" s="1">
        <f>IF(NOT(ISBLANK(Results!AJ5)),Results!AJ5,"")</f>
        <v>1.21</v>
      </c>
      <c r="S4" s="1">
        <f>IF(NOT(ISBLANK(Results!AN5)),Results!AN5,"")</f>
        <v>0.1</v>
      </c>
      <c r="T4" s="1">
        <f>IF(NOT(ISBLANK(Results!AK5)),Results!AK5,"")</f>
        <v>67.70703125</v>
      </c>
      <c r="U4" s="1">
        <f>IF(NOT(ISBLANK(Results!AO5)),Results!AO5,"")</f>
        <v>1.95703125</v>
      </c>
    </row>
    <row r="5" spans="1:21" x14ac:dyDescent="0.25">
      <c r="A5">
        <f t="shared" ref="A5:A33" si="0">ROW()-3</f>
        <v>2</v>
      </c>
      <c r="B5" s="1">
        <f>IF(NOT(ISBLANK(Results!C6)),Results!C6,"")</f>
        <v>2.83</v>
      </c>
      <c r="C5" s="1">
        <f>IF(NOT(ISBLANK(Results!G6)),Results!G6,"")</f>
        <v>0.21</v>
      </c>
      <c r="D5" s="1">
        <f>IF(NOT(ISBLANK(Results!D6)),Results!D6,"")</f>
        <v>71.671875</v>
      </c>
      <c r="E5" s="1">
        <f>IF(NOT(ISBLANK(Results!H6)),Results!H6,"")</f>
        <v>5.8515625</v>
      </c>
      <c r="F5" s="1">
        <f>IF(NOT(ISBLANK(Results!K6)),Results!K6,"")</f>
        <v>1.1100000000000001</v>
      </c>
      <c r="G5" s="1">
        <f>IF(NOT(ISBLANK(Results!O6)),Results!O6,"")</f>
        <v>0.1</v>
      </c>
      <c r="H5" s="1">
        <f>IF(NOT(ISBLANK(Results!L6)),Results!L6,"")</f>
        <v>68.1484375</v>
      </c>
      <c r="I5" s="1">
        <f>IF(NOT(ISBLANK(Results!P6)),Results!P6,"")</f>
        <v>1.9609375</v>
      </c>
      <c r="J5" s="1">
        <f>IF(NOT(ISBLANK(Results!S6)),Results!S6,"")</f>
        <v>3.03</v>
      </c>
      <c r="K5" s="1">
        <f>IF(NOT(ISBLANK(Results!W6)),Results!W6,"")</f>
        <v>0.1</v>
      </c>
      <c r="L5" s="1">
        <f>IF(NOT(ISBLANK(Results!T6)),Results!T6,"")</f>
        <v>73.4375</v>
      </c>
      <c r="M5" s="1">
        <f>IF(NOT(ISBLANK(Results!X6)),Results!X6,"")</f>
        <v>1.95703125</v>
      </c>
      <c r="N5" s="1">
        <f>IF(NOT(ISBLANK(Results!AB6)),Results!AB6,"")</f>
        <v>5.83</v>
      </c>
      <c r="O5" s="1">
        <f>IF(NOT(ISBLANK(Results!AF6)),Results!AF6,"")</f>
        <v>0.1</v>
      </c>
      <c r="P5" s="1">
        <f>IF(NOT(ISBLANK(Results!AC6)),Results!AC6,"")</f>
        <v>73.94921875</v>
      </c>
      <c r="Q5" s="1">
        <f>IF(NOT(ISBLANK(Results!AG6)),Results!AG6,"")</f>
        <v>1.95703125</v>
      </c>
      <c r="R5" s="1">
        <f>IF(NOT(ISBLANK(Results!AJ6)),Results!AJ6,"")</f>
        <v>3.22</v>
      </c>
      <c r="S5" s="1">
        <f>IF(NOT(ISBLANK(Results!AN6)),Results!AN6,"")</f>
        <v>0.2</v>
      </c>
      <c r="T5" s="1">
        <f>IF(NOT(ISBLANK(Results!AK6)),Results!AK6,"")</f>
        <v>73.7890625</v>
      </c>
      <c r="U5" s="1">
        <f>IF(NOT(ISBLANK(Results!AO6)),Results!AO6,"")</f>
        <v>5.47265625</v>
      </c>
    </row>
    <row r="6" spans="1:21" x14ac:dyDescent="0.25">
      <c r="A6">
        <f t="shared" si="0"/>
        <v>3</v>
      </c>
      <c r="B6" s="1">
        <f>IF(NOT(ISBLANK(Results!C7)),Results!C7,"")</f>
        <v>4.75</v>
      </c>
      <c r="C6" s="1">
        <f>IF(NOT(ISBLANK(Results!G7)),Results!G7,"")</f>
        <v>0.91</v>
      </c>
      <c r="D6" s="1">
        <f>IF(NOT(ISBLANK(Results!D7)),Results!D7,"")</f>
        <v>72.78515625</v>
      </c>
      <c r="E6" s="1">
        <f>IF(NOT(ISBLANK(Results!H7)),Results!H7,"")</f>
        <v>9.59765625</v>
      </c>
      <c r="F6" s="1">
        <f>IF(NOT(ISBLANK(Results!K7)),Results!K7,"")</f>
        <v>1.62</v>
      </c>
      <c r="G6" s="1">
        <f>IF(NOT(ISBLANK(Results!O7)),Results!O7,"")</f>
        <v>0.2</v>
      </c>
      <c r="H6" s="1">
        <f>IF(NOT(ISBLANK(Results!L7)),Results!L7,"")</f>
        <v>69.90625</v>
      </c>
      <c r="I6" s="1">
        <f>IF(NOT(ISBLANK(Results!P7)),Results!P7,"")</f>
        <v>5.87109375</v>
      </c>
      <c r="J6" s="1">
        <f>IF(NOT(ISBLANK(Results!S7)),Results!S7,"")</f>
        <v>3.03</v>
      </c>
      <c r="K6" s="1">
        <f>IF(NOT(ISBLANK(Results!W7)),Results!W7,"")</f>
        <v>0.4</v>
      </c>
      <c r="L6" s="1">
        <f>IF(NOT(ISBLANK(Results!T7)),Results!T7,"")</f>
        <v>74.453125</v>
      </c>
      <c r="M6" s="1">
        <f>IF(NOT(ISBLANK(Results!X7)),Results!X7,"")</f>
        <v>6.59765625</v>
      </c>
      <c r="N6" s="1">
        <f>IF(NOT(ISBLANK(Results!AB7)),Results!AB7,"")</f>
        <v>10.01</v>
      </c>
      <c r="O6" s="1">
        <f>IF(NOT(ISBLANK(Results!AF7)),Results!AF7,"")</f>
        <v>0.71</v>
      </c>
      <c r="P6" s="1">
        <f>IF(NOT(ISBLANK(Results!AC7)),Results!AC7,"")</f>
        <v>79.25390625</v>
      </c>
      <c r="Q6" s="1">
        <f>IF(NOT(ISBLANK(Results!AG7)),Results!AG7,"")</f>
        <v>7.7578125</v>
      </c>
      <c r="R6" s="1">
        <f>IF(NOT(ISBLANK(Results!AJ7)),Results!AJ7,"")</f>
        <v>4.03</v>
      </c>
      <c r="S6" s="1">
        <f>IF(NOT(ISBLANK(Results!AN7)),Results!AN7,"")</f>
        <v>0.3</v>
      </c>
      <c r="T6" s="1">
        <f>IF(NOT(ISBLANK(Results!AK7)),Results!AK7,"")</f>
        <v>76.1328125</v>
      </c>
      <c r="U6" s="1">
        <f>IF(NOT(ISBLANK(Results!AO7)),Results!AO7,"")</f>
        <v>5.71875</v>
      </c>
    </row>
    <row r="7" spans="1:21" x14ac:dyDescent="0.25">
      <c r="A7">
        <f t="shared" si="0"/>
        <v>4</v>
      </c>
      <c r="B7" s="1">
        <f>IF(NOT(ISBLANK(Results!C8)),Results!C8,"")</f>
        <v>7.88</v>
      </c>
      <c r="C7" s="1">
        <f>IF(NOT(ISBLANK(Results!G8)),Results!G8,"")</f>
        <v>4.54</v>
      </c>
      <c r="D7" s="1">
        <f>IF(NOT(ISBLANK(Results!D8)),Results!D8,"")</f>
        <v>73.59765625</v>
      </c>
      <c r="E7" s="1">
        <f>IF(NOT(ISBLANK(Results!H8)),Results!H8,"")</f>
        <v>28.80078125</v>
      </c>
      <c r="F7" s="1">
        <f>IF(NOT(ISBLANK(Results!K8)),Results!K8,"")</f>
        <v>2.02</v>
      </c>
      <c r="G7" s="1">
        <f>IF(NOT(ISBLANK(Results!O8)),Results!O8,"")</f>
        <v>0.3</v>
      </c>
      <c r="H7" s="1">
        <f>IF(NOT(ISBLANK(Results!L8)),Results!L8,"")</f>
        <v>69.9140625</v>
      </c>
      <c r="I7" s="1">
        <f>IF(NOT(ISBLANK(Results!P8)),Results!P8,"")</f>
        <v>7.6015625</v>
      </c>
      <c r="J7" s="1">
        <f>IF(NOT(ISBLANK(Results!S8)),Results!S8,"")</f>
        <v>3.03</v>
      </c>
      <c r="K7" s="1">
        <f>IF(NOT(ISBLANK(Results!W8)),Results!W8,"")</f>
        <v>1.52</v>
      </c>
      <c r="L7" s="1">
        <f>IF(NOT(ISBLANK(Results!T8)),Results!T8,"")</f>
        <v>74.1484375</v>
      </c>
      <c r="M7" s="1">
        <f>IF(NOT(ISBLANK(Results!X8)),Results!X8,"")</f>
        <v>11.640625</v>
      </c>
      <c r="N7" s="1">
        <f>IF(NOT(ISBLANK(Results!AB8)),Results!AB8,"")</f>
        <v>16.850000000000001</v>
      </c>
      <c r="O7" s="1">
        <f>IF(NOT(ISBLANK(Results!AF8)),Results!AF8,"")</f>
        <v>8.89</v>
      </c>
      <c r="P7" s="1">
        <f>IF(NOT(ISBLANK(Results!AC8)),Results!AC8,"")</f>
        <v>79.984375</v>
      </c>
      <c r="Q7" s="1">
        <f>IF(NOT(ISBLANK(Results!AG8)),Results!AG8,"")</f>
        <v>25.46875</v>
      </c>
      <c r="R7" s="1">
        <f>IF(NOT(ISBLANK(Results!AJ8)),Results!AJ8,"")</f>
        <v>4.8499999999999996</v>
      </c>
      <c r="S7" s="1">
        <f>IF(NOT(ISBLANK(Results!AN8)),Results!AN8,"")</f>
        <v>0.51</v>
      </c>
      <c r="T7" s="1">
        <f>IF(NOT(ISBLANK(Results!AK8)),Results!AK8,"")</f>
        <v>77.65625</v>
      </c>
      <c r="U7" s="1">
        <f>IF(NOT(ISBLANK(Results!AO8)),Results!AO8,"")</f>
        <v>6.73828125</v>
      </c>
    </row>
    <row r="8" spans="1:21" x14ac:dyDescent="0.25">
      <c r="A8">
        <f t="shared" si="0"/>
        <v>5</v>
      </c>
      <c r="B8" s="1">
        <f>IF(NOT(ISBLANK(Results!C9)),Results!C9,"")</f>
        <v>13.67</v>
      </c>
      <c r="C8" s="1">
        <f>IF(NOT(ISBLANK(Results!G9)),Results!G9,"")</f>
        <v>28.06</v>
      </c>
      <c r="D8" s="1">
        <f>IF(NOT(ISBLANK(Results!D9)),Results!D9,"")</f>
        <v>74.234375</v>
      </c>
      <c r="E8" s="1">
        <f>IF(NOT(ISBLANK(Results!H9)),Results!H9,"")</f>
        <v>112.21484375</v>
      </c>
      <c r="F8" s="1">
        <f>IF(NOT(ISBLANK(Results!K9)),Results!K9,"")</f>
        <v>2.3199999999999998</v>
      </c>
      <c r="G8" s="1">
        <f>IF(NOT(ISBLANK(Results!O9)),Results!O9,"")</f>
        <v>0.81</v>
      </c>
      <c r="H8" s="1">
        <f>IF(NOT(ISBLANK(Results!L9)),Results!L9,"")</f>
        <v>69.96875</v>
      </c>
      <c r="I8" s="1">
        <f>IF(NOT(ISBLANK(Results!P9)),Results!P9,"")</f>
        <v>13.125</v>
      </c>
      <c r="J8" s="1">
        <f>IF(NOT(ISBLANK(Results!S9)),Results!S9,"")</f>
        <v>3.03</v>
      </c>
      <c r="K8" s="1">
        <f>IF(NOT(ISBLANK(Results!W9)),Results!W9,"")</f>
        <v>11.62</v>
      </c>
      <c r="L8" s="1">
        <f>IF(NOT(ISBLANK(Results!T9)),Results!T9,"")</f>
        <v>74.1875</v>
      </c>
      <c r="M8" s="1">
        <f>IF(NOT(ISBLANK(Results!X9)),Results!X9,"")</f>
        <v>37.109375</v>
      </c>
      <c r="N8" s="1">
        <f>IF(NOT(ISBLANK(Results!AB9)),Results!AB9,"")</f>
        <v>35.97</v>
      </c>
      <c r="O8" s="1">
        <f>IF(NOT(ISBLANK(Results!AF9)),Results!AF9,"")</f>
        <v>190.7</v>
      </c>
      <c r="P8" s="1">
        <f>IF(NOT(ISBLANK(Results!AC9)),Results!AC9,"")</f>
        <v>80.79296875</v>
      </c>
      <c r="Q8" s="1">
        <f>IF(NOT(ISBLANK(Results!AG9)),Results!AG9,"")</f>
        <v>183.96875</v>
      </c>
      <c r="R8" s="1">
        <f>IF(NOT(ISBLANK(Results!AJ9)),Results!AJ9,"")</f>
        <v>5.95</v>
      </c>
      <c r="S8" s="1">
        <f>IF(NOT(ISBLANK(Results!AN9)),Results!AN9,"")</f>
        <v>1.93</v>
      </c>
      <c r="T8" s="1">
        <f>IF(NOT(ISBLANK(Results!AK9)),Results!AK9,"")</f>
        <v>78.1328125</v>
      </c>
      <c r="U8" s="1">
        <f>IF(NOT(ISBLANK(Results!AO9)),Results!AO9,"")</f>
        <v>10.9765625</v>
      </c>
    </row>
    <row r="9" spans="1:21" x14ac:dyDescent="0.25">
      <c r="A9">
        <f t="shared" si="0"/>
        <v>6</v>
      </c>
      <c r="B9" s="1">
        <f>IF(NOT(ISBLANK(Results!C10)),Results!C10,"")</f>
        <v>22.09</v>
      </c>
      <c r="C9" s="1">
        <f>IF(NOT(ISBLANK(Results!G10)),Results!G10,"")</f>
        <v>202.4</v>
      </c>
      <c r="D9" s="1">
        <f>IF(NOT(ISBLANK(Results!D10)),Results!D10,"")</f>
        <v>74.96875</v>
      </c>
      <c r="E9" s="1">
        <f>IF(NOT(ISBLANK(Results!H10)),Results!H10,"")</f>
        <v>613.515625</v>
      </c>
      <c r="F9" s="1">
        <f>IF(NOT(ISBLANK(Results!K10)),Results!K10,"")</f>
        <v>2.5299999999999998</v>
      </c>
      <c r="G9" s="1">
        <f>IF(NOT(ISBLANK(Results!O10)),Results!O10,"")</f>
        <v>2.73</v>
      </c>
      <c r="H9" s="1">
        <f>IF(NOT(ISBLANK(Results!L10)),Results!L10,"")</f>
        <v>70.15625</v>
      </c>
      <c r="I9" s="1">
        <f>IF(NOT(ISBLANK(Results!P10)),Results!P10,"")</f>
        <v>31.09765625</v>
      </c>
      <c r="J9" s="1">
        <f>IF(NOT(ISBLANK(Results!S10)),Results!S10,"")</f>
        <v>3.03</v>
      </c>
      <c r="K9" s="1">
        <f>IF(NOT(ISBLANK(Results!W10)),Results!W10,"")</f>
        <v>252.51</v>
      </c>
      <c r="L9" s="1">
        <f>IF(NOT(ISBLANK(Results!T10)),Results!T10,"")</f>
        <v>74.1875</v>
      </c>
      <c r="M9" s="1">
        <f>IF(NOT(ISBLANK(Results!X10)),Results!X10,"")</f>
        <v>190.79296875</v>
      </c>
      <c r="N9" s="1">
        <f>IF(NOT(ISBLANK(Results!AB10)),Results!AB10,"")</f>
        <v>60.62</v>
      </c>
      <c r="O9" s="1" t="str">
        <f>IF(NOT(ISBLANK(Results!AF10)),Results!AF10,"")</f>
        <v/>
      </c>
      <c r="P9" s="1">
        <f>IF(NOT(ISBLANK(Results!AC10)),Results!AC10,"")</f>
        <v>82.546875</v>
      </c>
      <c r="Q9" s="1" t="str">
        <f>IF(NOT(ISBLANK(Results!AG10)),Results!AG10,"")</f>
        <v/>
      </c>
      <c r="R9" s="1">
        <f>IF(NOT(ISBLANK(Results!AJ10)),Results!AJ10,"")</f>
        <v>6.98</v>
      </c>
      <c r="S9" s="1">
        <f>IF(NOT(ISBLANK(Results!AN10)),Results!AN10,"")</f>
        <v>5.05</v>
      </c>
      <c r="T9" s="1">
        <f>IF(NOT(ISBLANK(Results!AK10)),Results!AK10,"")</f>
        <v>78.33984375</v>
      </c>
      <c r="U9" s="1">
        <f>IF(NOT(ISBLANK(Results!AO10)),Results!AO10,"")</f>
        <v>20.48046875</v>
      </c>
    </row>
    <row r="10" spans="1:21" x14ac:dyDescent="0.25">
      <c r="A10">
        <f t="shared" si="0"/>
        <v>7</v>
      </c>
      <c r="B10" s="1">
        <f>IF(NOT(ISBLANK(Results!C11)),Results!C11,"")</f>
        <v>30.29</v>
      </c>
      <c r="C10" s="1" t="str">
        <f>IF(NOT(ISBLANK(Results!G11)),Results!G11,"")</f>
        <v/>
      </c>
      <c r="D10" s="1">
        <f>IF(NOT(ISBLANK(Results!D11)),Results!D11,"")</f>
        <v>75.84375</v>
      </c>
      <c r="E10" s="1" t="str">
        <f>IF(NOT(ISBLANK(Results!H11)),Results!H11,"")</f>
        <v/>
      </c>
      <c r="F10" s="1">
        <f>IF(NOT(ISBLANK(Results!K11)),Results!K11,"")</f>
        <v>2.72</v>
      </c>
      <c r="G10" s="1">
        <f>IF(NOT(ISBLANK(Results!O11)),Results!O11,"")</f>
        <v>10.79</v>
      </c>
      <c r="H10" s="1">
        <f>IF(NOT(ISBLANK(Results!L11)),Results!L11,"")</f>
        <v>69.99609375</v>
      </c>
      <c r="I10" s="1">
        <f>IF(NOT(ISBLANK(Results!P11)),Results!P11,"")</f>
        <v>117.7734375</v>
      </c>
      <c r="J10" s="1">
        <f>IF(NOT(ISBLANK(Results!S11)),Results!S11,"")</f>
        <v>3.03</v>
      </c>
      <c r="K10" s="1">
        <f>IF(NOT(ISBLANK(Results!W11)),Results!W11,"")</f>
        <v>11853.35</v>
      </c>
      <c r="L10" s="1">
        <f>IF(NOT(ISBLANK(Results!T11)),Results!T11,"")</f>
        <v>74.19140625</v>
      </c>
      <c r="M10" s="1">
        <f>IF(NOT(ISBLANK(Results!X11)),Results!X11,"")</f>
        <v>1307.27734375</v>
      </c>
      <c r="N10" s="1">
        <f>IF(NOT(ISBLANK(Results!AB11)),Results!AB11,"")</f>
        <v>98.3</v>
      </c>
      <c r="O10" s="1" t="str">
        <f>IF(NOT(ISBLANK(Results!AF11)),Results!AF11,"")</f>
        <v/>
      </c>
      <c r="P10" s="1">
        <f>IF(NOT(ISBLANK(Results!AC11)),Results!AC11,"")</f>
        <v>84.2890625</v>
      </c>
      <c r="Q10" s="1" t="str">
        <f>IF(NOT(ISBLANK(Results!AG11)),Results!AG11,"")</f>
        <v/>
      </c>
      <c r="R10" s="1">
        <f>IF(NOT(ISBLANK(Results!AJ11)),Results!AJ11,"")</f>
        <v>8.08</v>
      </c>
      <c r="S10" s="1">
        <f>IF(NOT(ISBLANK(Results!AN11)),Results!AN11,"")</f>
        <v>19.82</v>
      </c>
      <c r="T10" s="1">
        <f>IF(NOT(ISBLANK(Results!AK11)),Results!AK11,"")</f>
        <v>78.41796875</v>
      </c>
      <c r="U10" s="1">
        <f>IF(NOT(ISBLANK(Results!AO11)),Results!AO11,"")</f>
        <v>59.0625</v>
      </c>
    </row>
    <row r="11" spans="1:21" x14ac:dyDescent="0.25">
      <c r="A11">
        <f t="shared" si="0"/>
        <v>8</v>
      </c>
      <c r="B11" s="1">
        <f>IF(NOT(ISBLANK(Results!C12)),Results!C12,"")</f>
        <v>43.63</v>
      </c>
      <c r="C11" s="1" t="str">
        <f>IF(NOT(ISBLANK(Results!G12)),Results!G12,"")</f>
        <v/>
      </c>
      <c r="D11" s="1">
        <f>IF(NOT(ISBLANK(Results!D12)),Results!D12,"")</f>
        <v>77.16015625</v>
      </c>
      <c r="E11" s="1" t="str">
        <f>IF(NOT(ISBLANK(Results!H12)),Results!H12,"")</f>
        <v/>
      </c>
      <c r="F11" s="1">
        <f>IF(NOT(ISBLANK(Results!K12)),Results!K12,"")</f>
        <v>2.93</v>
      </c>
      <c r="G11" s="1">
        <f>IF(NOT(ISBLANK(Results!O12)),Results!O12,"")</f>
        <v>49.3</v>
      </c>
      <c r="H11" s="1">
        <f>IF(NOT(ISBLANK(Results!L12)),Results!L12,"")</f>
        <v>70.08203125</v>
      </c>
      <c r="I11" s="1">
        <f>IF(NOT(ISBLANK(Results!P12)),Results!P12,"")</f>
        <v>282.48046875</v>
      </c>
      <c r="J11" s="1">
        <f>IF(NOT(ISBLANK(Results!S12)),Results!S12,"")</f>
        <v>3.03</v>
      </c>
      <c r="K11" s="1" t="str">
        <f>IF(NOT(ISBLANK(Results!W12)),Results!W12,"")</f>
        <v/>
      </c>
      <c r="L11" s="1">
        <f>IF(NOT(ISBLANK(Results!T12)),Results!T12,"")</f>
        <v>74.18359375</v>
      </c>
      <c r="M11" s="1" t="str">
        <f>IF(NOT(ISBLANK(Results!X12)),Results!X12,"")</f>
        <v/>
      </c>
      <c r="N11" s="1">
        <f>IF(NOT(ISBLANK(Results!AB12)),Results!AB12,"")</f>
        <v>146.51</v>
      </c>
      <c r="O11" s="1" t="str">
        <f>IF(NOT(ISBLANK(Results!AF12)),Results!AF12,"")</f>
        <v/>
      </c>
      <c r="P11" s="1">
        <f>IF(NOT(ISBLANK(Results!AC12)),Results!AC12,"")</f>
        <v>84.2890625</v>
      </c>
      <c r="Q11" s="1" t="str">
        <f>IF(NOT(ISBLANK(Results!AG12)),Results!AG12,"")</f>
        <v/>
      </c>
      <c r="R11" s="1">
        <f>IF(NOT(ISBLANK(Results!AJ12)),Results!AJ12,"")</f>
        <v>8.98</v>
      </c>
      <c r="S11" s="1">
        <f>IF(NOT(ISBLANK(Results!AN12)),Results!AN12,"")</f>
        <v>92.31</v>
      </c>
      <c r="T11" s="1">
        <f>IF(NOT(ISBLANK(Results!AK12)),Results!AK12,"")</f>
        <v>78.45703125</v>
      </c>
      <c r="U11" s="1">
        <f>IF(NOT(ISBLANK(Results!AO12)),Results!AO12,"")</f>
        <v>187.75</v>
      </c>
    </row>
    <row r="12" spans="1:21" x14ac:dyDescent="0.25">
      <c r="A12">
        <f t="shared" si="0"/>
        <v>9</v>
      </c>
      <c r="B12" s="1">
        <f>IF(NOT(ISBLANK(Results!C13)),Results!C13,"")</f>
        <v>62.41</v>
      </c>
      <c r="C12" s="1" t="str">
        <f>IF(NOT(ISBLANK(Results!G13)),Results!G13,"")</f>
        <v/>
      </c>
      <c r="D12" s="1">
        <f>IF(NOT(ISBLANK(Results!D13)),Results!D13,"")</f>
        <v>78.16015625</v>
      </c>
      <c r="E12" s="1" t="str">
        <f>IF(NOT(ISBLANK(Results!H13)),Results!H13,"")</f>
        <v/>
      </c>
      <c r="F12" s="1">
        <f>IF(NOT(ISBLANK(Results!K13)),Results!K13,"")</f>
        <v>3.22</v>
      </c>
      <c r="G12" s="1">
        <f>IF(NOT(ISBLANK(Results!O13)),Results!O13,"")</f>
        <v>306.77999999999997</v>
      </c>
      <c r="H12" s="1">
        <f>IF(NOT(ISBLANK(Results!L13)),Results!L13,"")</f>
        <v>70.0625</v>
      </c>
      <c r="I12" s="1">
        <f>IF(NOT(ISBLANK(Results!P13)),Results!P13,"")</f>
        <v>987.15625</v>
      </c>
      <c r="J12" s="1">
        <f>IF(NOT(ISBLANK(Results!S13)),Results!S13,"")</f>
        <v>3.03</v>
      </c>
      <c r="K12" s="1" t="str">
        <f>IF(NOT(ISBLANK(Results!W13)),Results!W13,"")</f>
        <v/>
      </c>
      <c r="L12" s="1">
        <f>IF(NOT(ISBLANK(Results!T13)),Results!T13,"")</f>
        <v>74.375</v>
      </c>
      <c r="M12" s="1" t="str">
        <f>IF(NOT(ISBLANK(Results!X13)),Results!X13,"")</f>
        <v/>
      </c>
      <c r="N12" s="1">
        <f>IF(NOT(ISBLANK(Results!AB13)),Results!AB13,"")</f>
        <v>212.3</v>
      </c>
      <c r="O12" s="1" t="str">
        <f>IF(NOT(ISBLANK(Results!AF13)),Results!AF13,"")</f>
        <v/>
      </c>
      <c r="P12" s="1">
        <f>IF(NOT(ISBLANK(Results!AC13)),Results!AC13,"")</f>
        <v>89.90234375</v>
      </c>
      <c r="Q12" s="1" t="str">
        <f>IF(NOT(ISBLANK(Results!AG13)),Results!AG13,"")</f>
        <v/>
      </c>
      <c r="R12" s="1">
        <f>IF(NOT(ISBLANK(Results!AJ13)),Results!AJ13,"")</f>
        <v>10.199999999999999</v>
      </c>
      <c r="S12" s="1">
        <f>IF(NOT(ISBLANK(Results!AN13)),Results!AN13,"")</f>
        <v>472.97</v>
      </c>
      <c r="T12" s="1">
        <f>IF(NOT(ISBLANK(Results!AK13)),Results!AK13,"")</f>
        <v>79.05078125</v>
      </c>
      <c r="U12" s="1">
        <f>IF(NOT(ISBLANK(Results!AO13)),Results!AO13,"")</f>
        <v>589.453125</v>
      </c>
    </row>
    <row r="13" spans="1:21" x14ac:dyDescent="0.25">
      <c r="A13">
        <f t="shared" si="0"/>
        <v>10</v>
      </c>
      <c r="B13" s="1">
        <f>IF(NOT(ISBLANK(Results!C14)),Results!C14,"")</f>
        <v>87.39</v>
      </c>
      <c r="C13" s="1" t="str">
        <f>IF(NOT(ISBLANK(Results!G14)),Results!G14,"")</f>
        <v/>
      </c>
      <c r="D13" s="1">
        <f>IF(NOT(ISBLANK(Results!D14)),Results!D14,"")</f>
        <v>80.75</v>
      </c>
      <c r="E13" s="1" t="str">
        <f>IF(NOT(ISBLANK(Results!H14)),Results!H14,"")</f>
        <v/>
      </c>
      <c r="F13" s="1">
        <f>IF(NOT(ISBLANK(Results!K14)),Results!K14,"")</f>
        <v>3.43</v>
      </c>
      <c r="G13" s="1">
        <f>IF(NOT(ISBLANK(Results!O14)),Results!O14,"")</f>
        <v>2711.79</v>
      </c>
      <c r="H13" s="1">
        <f>IF(NOT(ISBLANK(Results!L14)),Results!L14,"")</f>
        <v>69.99609375</v>
      </c>
      <c r="I13" s="1">
        <f>IF(NOT(ISBLANK(Results!P14)),Results!P14,"")</f>
        <v>2790.5078125</v>
      </c>
      <c r="J13" s="1">
        <f>IF(NOT(ISBLANK(Results!S14)),Results!S14,"")</f>
        <v>3.03</v>
      </c>
      <c r="K13" s="1" t="str">
        <f>IF(NOT(ISBLANK(Results!W14)),Results!W14,"")</f>
        <v/>
      </c>
      <c r="L13" s="1">
        <f>IF(NOT(ISBLANK(Results!T14)),Results!T14,"")</f>
        <v>74.18359375</v>
      </c>
      <c r="M13" s="1" t="str">
        <f>IF(NOT(ISBLANK(Results!X14)),Results!X14,"")</f>
        <v/>
      </c>
      <c r="N13" s="1">
        <f>IF(NOT(ISBLANK(Results!AB14)),Results!AB14,"")</f>
        <v>323.74</v>
      </c>
      <c r="O13" s="1" t="str">
        <f>IF(NOT(ISBLANK(Results!AF14)),Results!AF14,"")</f>
        <v/>
      </c>
      <c r="P13" s="1">
        <f>IF(NOT(ISBLANK(Results!AC14)),Results!AC14,"")</f>
        <v>90.87109375</v>
      </c>
      <c r="Q13" s="1" t="str">
        <f>IF(NOT(ISBLANK(Results!AG14)),Results!AG14,"")</f>
        <v/>
      </c>
      <c r="R13" s="1">
        <f>IF(NOT(ISBLANK(Results!AJ14)),Results!AJ14,"")</f>
        <v>12.12</v>
      </c>
      <c r="S13" s="1" t="str">
        <f>IF(NOT(ISBLANK(Results!AN14)),Results!AN14,"")</f>
        <v/>
      </c>
      <c r="T13" s="1">
        <f>IF(NOT(ISBLANK(Results!AK14)),Results!AK14,"")</f>
        <v>78.953125</v>
      </c>
      <c r="U13" s="1" t="str">
        <f>IF(NOT(ISBLANK(Results!AO14)),Results!AO14,"")</f>
        <v/>
      </c>
    </row>
    <row r="14" spans="1:21" x14ac:dyDescent="0.25">
      <c r="A14">
        <f t="shared" si="0"/>
        <v>11</v>
      </c>
      <c r="B14" s="1">
        <f>IF(NOT(ISBLANK(Results!C15)),Results!C15,"")</f>
        <v>115.42</v>
      </c>
      <c r="C14" s="1" t="str">
        <f>IF(NOT(ISBLANK(Results!G15)),Results!G15,"")</f>
        <v/>
      </c>
      <c r="D14" s="1">
        <f>IF(NOT(ISBLANK(Results!D15)),Results!D15,"")</f>
        <v>82.80859375</v>
      </c>
      <c r="E14" s="1" t="str">
        <f>IF(NOT(ISBLANK(Results!H15)),Results!H15,"")</f>
        <v/>
      </c>
      <c r="F14" s="1">
        <f>IF(NOT(ISBLANK(Results!K15)),Results!K15,"")</f>
        <v>3.63</v>
      </c>
      <c r="G14" s="1" t="str">
        <f>IF(NOT(ISBLANK(Results!O15)),Results!O15,"")</f>
        <v/>
      </c>
      <c r="H14" s="1">
        <f>IF(NOT(ISBLANK(Results!L15)),Results!L15,"")</f>
        <v>70.08203125</v>
      </c>
      <c r="I14" s="1" t="str">
        <f>IF(NOT(ISBLANK(Results!P15)),Results!P15,"")</f>
        <v/>
      </c>
      <c r="J14" s="1">
        <f>IF(NOT(ISBLANK(Results!S15)),Results!S15,"")</f>
        <v>3.13</v>
      </c>
      <c r="K14" s="1" t="str">
        <f>IF(NOT(ISBLANK(Results!W15)),Results!W15,"")</f>
        <v/>
      </c>
      <c r="L14" s="1">
        <f>IF(NOT(ISBLANK(Results!T15)),Results!T15,"")</f>
        <v>74.19140625</v>
      </c>
      <c r="M14" s="1" t="str">
        <f>IF(NOT(ISBLANK(Results!X15)),Results!X15,"")</f>
        <v/>
      </c>
      <c r="N14" s="1">
        <f>IF(NOT(ISBLANK(Results!AB15)),Results!AB15,"")</f>
        <v>472.85</v>
      </c>
      <c r="O14" s="1" t="str">
        <f>IF(NOT(ISBLANK(Results!AF15)),Results!AF15,"")</f>
        <v/>
      </c>
      <c r="P14" s="1">
        <f>IF(NOT(ISBLANK(Results!AC15)),Results!AC15,"")</f>
        <v>95.0625</v>
      </c>
      <c r="Q14" s="1" t="str">
        <f>IF(NOT(ISBLANK(Results!AG15)),Results!AG15,"")</f>
        <v/>
      </c>
      <c r="R14" s="1">
        <f>IF(NOT(ISBLANK(Results!AJ15)),Results!AJ15,"")</f>
        <v>16.16</v>
      </c>
      <c r="S14" s="1" t="str">
        <f>IF(NOT(ISBLANK(Results!AN15)),Results!AN15,"")</f>
        <v/>
      </c>
      <c r="T14" s="1">
        <f>IF(NOT(ISBLANK(Results!AK15)),Results!AK15,"")</f>
        <v>79.484375</v>
      </c>
      <c r="U14" s="1" t="str">
        <f>IF(NOT(ISBLANK(Results!AO15)),Results!AO15,"")</f>
        <v/>
      </c>
    </row>
    <row r="15" spans="1:21" x14ac:dyDescent="0.25">
      <c r="A15">
        <f t="shared" si="0"/>
        <v>12</v>
      </c>
      <c r="B15" s="1">
        <f>IF(NOT(ISBLANK(Results!C16)),Results!C16,"")</f>
        <v>149.96</v>
      </c>
      <c r="C15" s="1" t="str">
        <f>IF(NOT(ISBLANK(Results!G16)),Results!G16,"")</f>
        <v/>
      </c>
      <c r="D15" s="1">
        <f>IF(NOT(ISBLANK(Results!D16)),Results!D16,"")</f>
        <v>86.1171875</v>
      </c>
      <c r="E15" s="1" t="str">
        <f>IF(NOT(ISBLANK(Results!H16)),Results!H16,"")</f>
        <v/>
      </c>
      <c r="F15" s="1">
        <f>IF(NOT(ISBLANK(Results!K16)),Results!K16,"")</f>
        <v>3.82</v>
      </c>
      <c r="G15" s="1" t="str">
        <f>IF(NOT(ISBLANK(Results!O16)),Results!O16,"")</f>
        <v/>
      </c>
      <c r="H15" s="1">
        <f>IF(NOT(ISBLANK(Results!L16)),Results!L16,"")</f>
        <v>70.09375</v>
      </c>
      <c r="I15" s="1" t="str">
        <f>IF(NOT(ISBLANK(Results!P16)),Results!P16,"")</f>
        <v/>
      </c>
      <c r="J15" s="1">
        <f>IF(NOT(ISBLANK(Results!S16)),Results!S16,"")</f>
        <v>3.03</v>
      </c>
      <c r="K15" s="1" t="str">
        <f>IF(NOT(ISBLANK(Results!W16)),Results!W16,"")</f>
        <v/>
      </c>
      <c r="L15" s="1">
        <f>IF(NOT(ISBLANK(Results!T16)),Results!T16,"")</f>
        <v>74.1875</v>
      </c>
      <c r="M15" s="1" t="str">
        <f>IF(NOT(ISBLANK(Results!X16)),Results!X16,"")</f>
        <v/>
      </c>
      <c r="N15" s="1">
        <f>IF(NOT(ISBLANK(Results!AB16)),Results!AB16,"")</f>
        <v>636.91</v>
      </c>
      <c r="O15" s="1" t="str">
        <f>IF(NOT(ISBLANK(Results!AF16)),Results!AF16,"")</f>
        <v/>
      </c>
      <c r="P15" s="1">
        <f>IF(NOT(ISBLANK(Results!AC16)),Results!AC16,"")</f>
        <v>101.24609375</v>
      </c>
      <c r="Q15" s="1" t="str">
        <f>IF(NOT(ISBLANK(Results!AG16)),Results!AG16,"")</f>
        <v/>
      </c>
      <c r="R15" s="1">
        <f>IF(NOT(ISBLANK(Results!AJ16)),Results!AJ16,"")</f>
        <v>13.12</v>
      </c>
      <c r="S15" s="1" t="str">
        <f>IF(NOT(ISBLANK(Results!AN16)),Results!AN16,"")</f>
        <v/>
      </c>
      <c r="T15" s="1">
        <f>IF(NOT(ISBLANK(Results!AK16)),Results!AK16,"")</f>
        <v>79.65625</v>
      </c>
      <c r="U15" s="1" t="str">
        <f>IF(NOT(ISBLANK(Results!AO16)),Results!AO16,"")</f>
        <v/>
      </c>
    </row>
    <row r="16" spans="1:21" x14ac:dyDescent="0.25">
      <c r="A16">
        <f t="shared" si="0"/>
        <v>13</v>
      </c>
      <c r="B16" s="1">
        <f>IF(NOT(ISBLANK(Results!C17)),Results!C17,"")</f>
        <v>188.43</v>
      </c>
      <c r="C16" s="1" t="str">
        <f>IF(NOT(ISBLANK(Results!G17)),Results!G17,"")</f>
        <v/>
      </c>
      <c r="D16" s="1">
        <f>IF(NOT(ISBLANK(Results!D17)),Results!D17,"")</f>
        <v>88.57421875</v>
      </c>
      <c r="E16" s="1" t="str">
        <f>IF(NOT(ISBLANK(Results!H17)),Results!H17,"")</f>
        <v/>
      </c>
      <c r="F16" s="1">
        <f>IF(NOT(ISBLANK(Results!K17)),Results!K17,"")</f>
        <v>4.24</v>
      </c>
      <c r="G16" s="1" t="str">
        <f>IF(NOT(ISBLANK(Results!O17)),Results!O17,"")</f>
        <v/>
      </c>
      <c r="H16" s="1">
        <f>IF(NOT(ISBLANK(Results!L17)),Results!L17,"")</f>
        <v>70.140625</v>
      </c>
      <c r="I16" s="1" t="str">
        <f>IF(NOT(ISBLANK(Results!P17)),Results!P17,"")</f>
        <v/>
      </c>
      <c r="J16" s="1">
        <f>IF(NOT(ISBLANK(Results!S17)),Results!S17,"")</f>
        <v>3.03</v>
      </c>
      <c r="K16" s="1" t="str">
        <f>IF(NOT(ISBLANK(Results!W17)),Results!W17,"")</f>
        <v/>
      </c>
      <c r="L16" s="1">
        <f>IF(NOT(ISBLANK(Results!T17)),Results!T17,"")</f>
        <v>74.18359375</v>
      </c>
      <c r="M16" s="1" t="str">
        <f>IF(NOT(ISBLANK(Results!X17)),Results!X17,"")</f>
        <v/>
      </c>
      <c r="N16" s="1">
        <f>IF(NOT(ISBLANK(Results!AB17)),Results!AB17,"")</f>
        <v>1028.67</v>
      </c>
      <c r="O16" s="1" t="str">
        <f>IF(NOT(ISBLANK(Results!AF17)),Results!AF17,"")</f>
        <v/>
      </c>
      <c r="P16" s="1">
        <f>IF(NOT(ISBLANK(Results!AC17)),Results!AC17,"")</f>
        <v>103.37109375</v>
      </c>
      <c r="Q16" s="1" t="str">
        <f>IF(NOT(ISBLANK(Results!AG17)),Results!AG17,"")</f>
        <v/>
      </c>
      <c r="R16" s="1">
        <f>IF(NOT(ISBLANK(Results!AJ17)),Results!AJ17,"")</f>
        <v>14.04</v>
      </c>
      <c r="S16" s="1" t="str">
        <f>IF(NOT(ISBLANK(Results!AN17)),Results!AN17,"")</f>
        <v/>
      </c>
      <c r="T16" s="1">
        <f>IF(NOT(ISBLANK(Results!AK17)),Results!AK17,"")</f>
        <v>79.6640625</v>
      </c>
      <c r="U16" s="1" t="str">
        <f>IF(NOT(ISBLANK(Results!AO17)),Results!AO17,"")</f>
        <v/>
      </c>
    </row>
    <row r="17" spans="1:21" x14ac:dyDescent="0.25">
      <c r="A17">
        <f t="shared" si="0"/>
        <v>14</v>
      </c>
      <c r="B17" s="1">
        <f>IF(NOT(ISBLANK(Results!C18)),Results!C18,"")</f>
        <v>242.33</v>
      </c>
      <c r="C17" s="1" t="str">
        <f>IF(NOT(ISBLANK(Results!G18)),Results!G18,"")</f>
        <v/>
      </c>
      <c r="D17" s="1">
        <f>IF(NOT(ISBLANK(Results!D18)),Results!D18,"")</f>
        <v>92.8203125</v>
      </c>
      <c r="E17" s="1" t="str">
        <f>IF(NOT(ISBLANK(Results!H18)),Results!H18,"")</f>
        <v/>
      </c>
      <c r="F17" s="1">
        <f>IF(NOT(ISBLANK(Results!K18)),Results!K18,"")</f>
        <v>4.54</v>
      </c>
      <c r="G17" s="1" t="str">
        <f>IF(NOT(ISBLANK(Results!O18)),Results!O18,"")</f>
        <v/>
      </c>
      <c r="H17" s="1">
        <f>IF(NOT(ISBLANK(Results!L18)),Results!L18,"")</f>
        <v>70.0078125</v>
      </c>
      <c r="I17" s="1" t="str">
        <f>IF(NOT(ISBLANK(Results!P18)),Results!P18,"")</f>
        <v/>
      </c>
      <c r="J17" s="1">
        <f>IF(NOT(ISBLANK(Results!S18)),Results!S18,"")</f>
        <v>3.13</v>
      </c>
      <c r="K17" s="1" t="str">
        <f>IF(NOT(ISBLANK(Results!W18)),Results!W18,"")</f>
        <v/>
      </c>
      <c r="L17" s="1">
        <f>IF(NOT(ISBLANK(Results!T18)),Results!T18,"")</f>
        <v>74.1875</v>
      </c>
      <c r="M17" s="1" t="str">
        <f>IF(NOT(ISBLANK(Results!X18)),Results!X18,"")</f>
        <v/>
      </c>
      <c r="N17" s="1">
        <f>IF(NOT(ISBLANK(Results!AB18)),Results!AB18,"")</f>
        <v>1340.53</v>
      </c>
      <c r="O17" s="1" t="str">
        <f>IF(NOT(ISBLANK(Results!AF18)),Results!AF18,"")</f>
        <v/>
      </c>
      <c r="P17" s="1">
        <f>IF(NOT(ISBLANK(Results!AC18)),Results!AC18,"")</f>
        <v>111.84375</v>
      </c>
      <c r="Q17" s="1" t="str">
        <f>IF(NOT(ISBLANK(Results!AG18)),Results!AG18,"")</f>
        <v/>
      </c>
      <c r="R17" s="1">
        <f>IF(NOT(ISBLANK(Results!AJ18)),Results!AJ18,"")</f>
        <v>14.96</v>
      </c>
      <c r="S17" s="1" t="str">
        <f>IF(NOT(ISBLANK(Results!AN18)),Results!AN18,"")</f>
        <v/>
      </c>
      <c r="T17" s="1">
        <f>IF(NOT(ISBLANK(Results!AK18)),Results!AK18,"")</f>
        <v>79.31640625</v>
      </c>
      <c r="U17" s="1" t="str">
        <f>IF(NOT(ISBLANK(Results!AO18)),Results!AO18,"")</f>
        <v/>
      </c>
    </row>
    <row r="18" spans="1:21" x14ac:dyDescent="0.25">
      <c r="A18">
        <f t="shared" si="0"/>
        <v>15</v>
      </c>
      <c r="B18" s="1">
        <f>IF(NOT(ISBLANK(Results!C19)),Results!C19,"")</f>
        <v>309.2</v>
      </c>
      <c r="C18" s="1" t="str">
        <f>IF(NOT(ISBLANK(Results!G19)),Results!G19,"")</f>
        <v/>
      </c>
      <c r="D18" s="1">
        <f>IF(NOT(ISBLANK(Results!D19)),Results!D19,"")</f>
        <v>96.29296875</v>
      </c>
      <c r="E18" s="1" t="str">
        <f>IF(NOT(ISBLANK(Results!H19)),Results!H19,"")</f>
        <v/>
      </c>
      <c r="F18" s="1">
        <f>IF(NOT(ISBLANK(Results!K19)),Results!K19,"")</f>
        <v>4.45</v>
      </c>
      <c r="G18" s="1" t="str">
        <f>IF(NOT(ISBLANK(Results!O19)),Results!O19,"")</f>
        <v/>
      </c>
      <c r="H18" s="1">
        <f>IF(NOT(ISBLANK(Results!L19)),Results!L19,"")</f>
        <v>70.0625</v>
      </c>
      <c r="I18" s="1" t="str">
        <f>IF(NOT(ISBLANK(Results!P19)),Results!P19,"")</f>
        <v/>
      </c>
      <c r="J18" s="1">
        <f>IF(NOT(ISBLANK(Results!S19)),Results!S19,"")</f>
        <v>2.93</v>
      </c>
      <c r="K18" s="1" t="str">
        <f>IF(NOT(ISBLANK(Results!W19)),Results!W19,"")</f>
        <v/>
      </c>
      <c r="L18" s="1">
        <f>IF(NOT(ISBLANK(Results!T19)),Results!T19,"")</f>
        <v>74.4296875</v>
      </c>
      <c r="M18" s="1" t="str">
        <f>IF(NOT(ISBLANK(Results!X19)),Results!X19,"")</f>
        <v/>
      </c>
      <c r="N18" s="1">
        <f>IF(NOT(ISBLANK(Results!AB19)),Results!AB19,"")</f>
        <v>1824.8</v>
      </c>
      <c r="O18" s="1" t="str">
        <f>IF(NOT(ISBLANK(Results!AF19)),Results!AF19,"")</f>
        <v/>
      </c>
      <c r="P18" s="1">
        <f>IF(NOT(ISBLANK(Results!AC19)),Results!AC19,"")</f>
        <v>117.77734375</v>
      </c>
      <c r="Q18" s="1" t="str">
        <f>IF(NOT(ISBLANK(Results!AG19)),Results!AG19,"")</f>
        <v/>
      </c>
      <c r="R18" s="1">
        <f>IF(NOT(ISBLANK(Results!AJ19)),Results!AJ19,"")</f>
        <v>16.28</v>
      </c>
      <c r="S18" s="1" t="str">
        <f>IF(NOT(ISBLANK(Results!AN19)),Results!AN19,"")</f>
        <v/>
      </c>
      <c r="T18" s="1">
        <f>IF(NOT(ISBLANK(Results!AK19)),Results!AK19,"")</f>
        <v>79.82421875</v>
      </c>
      <c r="U18" s="1" t="str">
        <f>IF(NOT(ISBLANK(Results!AO19)),Results!AO19,"")</f>
        <v/>
      </c>
    </row>
    <row r="19" spans="1:21" x14ac:dyDescent="0.25">
      <c r="A19">
        <f t="shared" si="0"/>
        <v>16</v>
      </c>
      <c r="B19" s="1" t="str">
        <f>IF(NOT(ISBLANK(Results!C20)),Results!C20,"")</f>
        <v/>
      </c>
      <c r="C19" s="1" t="str">
        <f>IF(NOT(ISBLANK(Results!G20)),Results!G20,"")</f>
        <v/>
      </c>
      <c r="D19" s="1" t="str">
        <f>IF(NOT(ISBLANK(Results!D20)),Results!D20,"")</f>
        <v/>
      </c>
      <c r="E19" s="1" t="str">
        <f>IF(NOT(ISBLANK(Results!H20)),Results!H20,"")</f>
        <v/>
      </c>
      <c r="F19" s="1" t="str">
        <f>IF(NOT(ISBLANK(Results!K20)),Results!K20,"")</f>
        <v/>
      </c>
      <c r="G19" s="1" t="str">
        <f>IF(NOT(ISBLANK(Results!O20)),Results!O20,"")</f>
        <v/>
      </c>
      <c r="H19" s="1" t="str">
        <f>IF(NOT(ISBLANK(Results!L20)),Results!L20,"")</f>
        <v/>
      </c>
      <c r="I19" s="1" t="str">
        <f>IF(NOT(ISBLANK(Results!P20)),Results!P20,"")</f>
        <v/>
      </c>
      <c r="J19" s="1" t="str">
        <f>IF(NOT(ISBLANK(Results!S20)),Results!S20,"")</f>
        <v/>
      </c>
      <c r="K19" s="1" t="str">
        <f>IF(NOT(ISBLANK(Results!W20)),Results!W20,"")</f>
        <v/>
      </c>
      <c r="L19" s="1" t="str">
        <f>IF(NOT(ISBLANK(Results!T20)),Results!T20,"")</f>
        <v/>
      </c>
      <c r="M19" s="1" t="str">
        <f>IF(NOT(ISBLANK(Results!X20)),Results!X20,"")</f>
        <v/>
      </c>
      <c r="N19" s="1" t="str">
        <f>IF(NOT(ISBLANK(Results!AB20)),Results!AB20,"")</f>
        <v/>
      </c>
      <c r="O19" s="1" t="str">
        <f>IF(NOT(ISBLANK(Results!AF20)),Results!AF20,"")</f>
        <v/>
      </c>
      <c r="P19" s="1" t="str">
        <f>IF(NOT(ISBLANK(Results!AC20)),Results!AC20,"")</f>
        <v/>
      </c>
      <c r="Q19" s="1" t="str">
        <f>IF(NOT(ISBLANK(Results!AG20)),Results!AG20,"")</f>
        <v/>
      </c>
      <c r="R19" s="1" t="str">
        <f>IF(NOT(ISBLANK(Results!AJ20)),Results!AJ20,"")</f>
        <v/>
      </c>
      <c r="S19" s="1" t="str">
        <f>IF(NOT(ISBLANK(Results!AN20)),Results!AN20,"")</f>
        <v/>
      </c>
      <c r="T19" s="1" t="str">
        <f>IF(NOT(ISBLANK(Results!AK20)),Results!AK20,"")</f>
        <v/>
      </c>
      <c r="U19" s="1" t="str">
        <f>IF(NOT(ISBLANK(Results!AO20)),Results!AO20,"")</f>
        <v/>
      </c>
    </row>
    <row r="20" spans="1:21" x14ac:dyDescent="0.25">
      <c r="A20">
        <f t="shared" si="0"/>
        <v>17</v>
      </c>
      <c r="B20" s="1" t="str">
        <f>IF(NOT(ISBLANK(Results!C21)),Results!C21,"")</f>
        <v/>
      </c>
      <c r="C20" s="1" t="str">
        <f>IF(NOT(ISBLANK(Results!G21)),Results!G21,"")</f>
        <v/>
      </c>
      <c r="D20" s="1" t="str">
        <f>IF(NOT(ISBLANK(Results!D21)),Results!D21,"")</f>
        <v/>
      </c>
      <c r="E20" s="1" t="str">
        <f>IF(NOT(ISBLANK(Results!H21)),Results!H21,"")</f>
        <v/>
      </c>
      <c r="F20" s="1" t="str">
        <f>IF(NOT(ISBLANK(Results!K21)),Results!K21,"")</f>
        <v/>
      </c>
      <c r="G20" s="1" t="str">
        <f>IF(NOT(ISBLANK(Results!O21)),Results!O21,"")</f>
        <v/>
      </c>
      <c r="H20" s="1" t="str">
        <f>IF(NOT(ISBLANK(Results!L21)),Results!L21,"")</f>
        <v/>
      </c>
      <c r="I20" s="1" t="str">
        <f>IF(NOT(ISBLANK(Results!P21)),Results!P21,"")</f>
        <v/>
      </c>
      <c r="J20" s="1" t="str">
        <f>IF(NOT(ISBLANK(Results!S21)),Results!S21,"")</f>
        <v/>
      </c>
      <c r="K20" s="1" t="str">
        <f>IF(NOT(ISBLANK(Results!W21)),Results!W21,"")</f>
        <v/>
      </c>
      <c r="L20" s="1" t="str">
        <f>IF(NOT(ISBLANK(Results!T21)),Results!T21,"")</f>
        <v/>
      </c>
      <c r="M20" s="1" t="str">
        <f>IF(NOT(ISBLANK(Results!X21)),Results!X21,"")</f>
        <v/>
      </c>
      <c r="N20" s="1" t="str">
        <f>IF(NOT(ISBLANK(Results!AB21)),Results!AB21,"")</f>
        <v/>
      </c>
      <c r="O20" s="1" t="str">
        <f>IF(NOT(ISBLANK(Results!AF21)),Results!AF21,"")</f>
        <v/>
      </c>
      <c r="P20" s="1" t="str">
        <f>IF(NOT(ISBLANK(Results!AC21)),Results!AC21,"")</f>
        <v/>
      </c>
      <c r="Q20" s="1" t="str">
        <f>IF(NOT(ISBLANK(Results!AG21)),Results!AG21,"")</f>
        <v/>
      </c>
      <c r="R20" s="1" t="str">
        <f>IF(NOT(ISBLANK(Results!AJ21)),Results!AJ21,"")</f>
        <v/>
      </c>
      <c r="S20" s="1" t="str">
        <f>IF(NOT(ISBLANK(Results!AN21)),Results!AN21,"")</f>
        <v/>
      </c>
      <c r="T20" s="1" t="str">
        <f>IF(NOT(ISBLANK(Results!AK21)),Results!AK21,"")</f>
        <v/>
      </c>
      <c r="U20" s="1" t="str">
        <f>IF(NOT(ISBLANK(Results!AO21)),Results!AO21,"")</f>
        <v/>
      </c>
    </row>
    <row r="21" spans="1:21" x14ac:dyDescent="0.25">
      <c r="A21">
        <f t="shared" si="0"/>
        <v>18</v>
      </c>
      <c r="B21" s="1" t="str">
        <f>IF(NOT(ISBLANK(Results!C22)),Results!C22,"")</f>
        <v/>
      </c>
      <c r="C21" s="1" t="str">
        <f>IF(NOT(ISBLANK(Results!G22)),Results!G22,"")</f>
        <v/>
      </c>
      <c r="D21" s="1" t="str">
        <f>IF(NOT(ISBLANK(Results!D22)),Results!D22,"")</f>
        <v/>
      </c>
      <c r="E21" s="1" t="str">
        <f>IF(NOT(ISBLANK(Results!H22)),Results!H22,"")</f>
        <v/>
      </c>
      <c r="F21" s="1" t="str">
        <f>IF(NOT(ISBLANK(Results!K22)),Results!K22,"")</f>
        <v/>
      </c>
      <c r="G21" s="1" t="str">
        <f>IF(NOT(ISBLANK(Results!O22)),Results!O22,"")</f>
        <v/>
      </c>
      <c r="H21" s="1" t="str">
        <f>IF(NOT(ISBLANK(Results!L22)),Results!L22,"")</f>
        <v/>
      </c>
      <c r="I21" s="1" t="str">
        <f>IF(NOT(ISBLANK(Results!P22)),Results!P22,"")</f>
        <v/>
      </c>
      <c r="J21" s="1" t="str">
        <f>IF(NOT(ISBLANK(Results!S22)),Results!S22,"")</f>
        <v/>
      </c>
      <c r="K21" s="1" t="str">
        <f>IF(NOT(ISBLANK(Results!W22)),Results!W22,"")</f>
        <v/>
      </c>
      <c r="L21" s="1" t="str">
        <f>IF(NOT(ISBLANK(Results!T22)),Results!T22,"")</f>
        <v/>
      </c>
      <c r="M21" s="1" t="str">
        <f>IF(NOT(ISBLANK(Results!X22)),Results!X22,"")</f>
        <v/>
      </c>
      <c r="N21" s="1" t="str">
        <f>IF(NOT(ISBLANK(Results!AB22)),Results!AB22,"")</f>
        <v/>
      </c>
      <c r="O21" s="1" t="str">
        <f>IF(NOT(ISBLANK(Results!AF22)),Results!AF22,"")</f>
        <v/>
      </c>
      <c r="P21" s="1" t="str">
        <f>IF(NOT(ISBLANK(Results!AC22)),Results!AC22,"")</f>
        <v/>
      </c>
      <c r="Q21" s="1" t="str">
        <f>IF(NOT(ISBLANK(Results!AG22)),Results!AG22,"")</f>
        <v/>
      </c>
      <c r="R21" s="1" t="str">
        <f>IF(NOT(ISBLANK(Results!AJ22)),Results!AJ22,"")</f>
        <v/>
      </c>
      <c r="S21" s="1" t="str">
        <f>IF(NOT(ISBLANK(Results!AN22)),Results!AN22,"")</f>
        <v/>
      </c>
      <c r="T21" s="1" t="str">
        <f>IF(NOT(ISBLANK(Results!AK22)),Results!AK22,"")</f>
        <v/>
      </c>
      <c r="U21" s="1" t="str">
        <f>IF(NOT(ISBLANK(Results!AO22)),Results!AO22,"")</f>
        <v/>
      </c>
    </row>
    <row r="22" spans="1:21" x14ac:dyDescent="0.25">
      <c r="A22">
        <f t="shared" si="0"/>
        <v>19</v>
      </c>
      <c r="B22" s="1" t="str">
        <f>IF(NOT(ISBLANK(Results!C23)),Results!C23,"")</f>
        <v/>
      </c>
      <c r="C22" s="1" t="str">
        <f>IF(NOT(ISBLANK(Results!G23)),Results!G23,"")</f>
        <v/>
      </c>
      <c r="D22" s="1" t="str">
        <f>IF(NOT(ISBLANK(Results!D23)),Results!D23,"")</f>
        <v/>
      </c>
      <c r="E22" s="1" t="str">
        <f>IF(NOT(ISBLANK(Results!H23)),Results!H23,"")</f>
        <v/>
      </c>
      <c r="F22" s="1" t="str">
        <f>IF(NOT(ISBLANK(Results!K23)),Results!K23,"")</f>
        <v/>
      </c>
      <c r="G22" s="1" t="str">
        <f>IF(NOT(ISBLANK(Results!O23)),Results!O23,"")</f>
        <v/>
      </c>
      <c r="H22" s="1" t="str">
        <f>IF(NOT(ISBLANK(Results!L23)),Results!L23,"")</f>
        <v/>
      </c>
      <c r="I22" s="1" t="str">
        <f>IF(NOT(ISBLANK(Results!P23)),Results!P23,"")</f>
        <v/>
      </c>
      <c r="J22" s="1" t="str">
        <f>IF(NOT(ISBLANK(Results!S23)),Results!S23,"")</f>
        <v/>
      </c>
      <c r="K22" s="1" t="str">
        <f>IF(NOT(ISBLANK(Results!W23)),Results!W23,"")</f>
        <v/>
      </c>
      <c r="L22" s="1" t="str">
        <f>IF(NOT(ISBLANK(Results!T23)),Results!T23,"")</f>
        <v/>
      </c>
      <c r="M22" s="1" t="str">
        <f>IF(NOT(ISBLANK(Results!X23)),Results!X23,"")</f>
        <v/>
      </c>
      <c r="N22" s="1" t="str">
        <f>IF(NOT(ISBLANK(Results!AB23)),Results!AB23,"")</f>
        <v/>
      </c>
      <c r="O22" s="1" t="str">
        <f>IF(NOT(ISBLANK(Results!AF23)),Results!AF23,"")</f>
        <v/>
      </c>
      <c r="P22" s="1" t="str">
        <f>IF(NOT(ISBLANK(Results!AC23)),Results!AC23,"")</f>
        <v/>
      </c>
      <c r="Q22" s="1" t="str">
        <f>IF(NOT(ISBLANK(Results!AG23)),Results!AG23,"")</f>
        <v/>
      </c>
      <c r="R22" s="1" t="str">
        <f>IF(NOT(ISBLANK(Results!AJ23)),Results!AJ23,"")</f>
        <v/>
      </c>
      <c r="S22" s="1" t="str">
        <f>IF(NOT(ISBLANK(Results!AN23)),Results!AN23,"")</f>
        <v/>
      </c>
      <c r="T22" s="1" t="str">
        <f>IF(NOT(ISBLANK(Results!AK23)),Results!AK23,"")</f>
        <v/>
      </c>
      <c r="U22" s="1" t="str">
        <f>IF(NOT(ISBLANK(Results!AO23)),Results!AO23,"")</f>
        <v/>
      </c>
    </row>
    <row r="23" spans="1:21" x14ac:dyDescent="0.25">
      <c r="A23">
        <f t="shared" si="0"/>
        <v>20</v>
      </c>
      <c r="B23" s="1">
        <f>IF(NOT(ISBLANK(Results!C24)),Results!C24,"")</f>
        <v>756.19</v>
      </c>
      <c r="C23" s="1" t="str">
        <f>IF(NOT(ISBLANK(Results!G24)),Results!G24,"")</f>
        <v/>
      </c>
      <c r="D23" s="1">
        <f>IF(NOT(ISBLANK(Results!D24)),Results!D24,"")</f>
        <v>127.02734375</v>
      </c>
      <c r="E23" s="1" t="str">
        <f>IF(NOT(ISBLANK(Results!H24)),Results!H24,"")</f>
        <v/>
      </c>
      <c r="F23" s="1">
        <f>IF(NOT(ISBLANK(Results!K24)),Results!K24,"")</f>
        <v>5.76</v>
      </c>
      <c r="G23" s="1" t="str">
        <f>IF(NOT(ISBLANK(Results!O24)),Results!O24,"")</f>
        <v/>
      </c>
      <c r="H23" s="1">
        <f>IF(NOT(ISBLANK(Results!L24)),Results!L24,"")</f>
        <v>69.9609375</v>
      </c>
      <c r="I23" s="1" t="str">
        <f>IF(NOT(ISBLANK(Results!P24)),Results!P24,"")</f>
        <v/>
      </c>
      <c r="J23" s="1">
        <f>IF(NOT(ISBLANK(Results!S24)),Results!S24,"")</f>
        <v>3.33</v>
      </c>
      <c r="K23" s="1" t="str">
        <f>IF(NOT(ISBLANK(Results!W24)),Results!W24,"")</f>
        <v/>
      </c>
      <c r="L23" s="1">
        <f>IF(NOT(ISBLANK(Results!T24)),Results!T24,"")</f>
        <v>74.42578125</v>
      </c>
      <c r="M23" s="1" t="str">
        <f>IF(NOT(ISBLANK(Results!X24)),Results!X24,"")</f>
        <v/>
      </c>
      <c r="N23" s="1">
        <f>IF(NOT(ISBLANK(Results!AB24)),Results!AB24,"")</f>
        <v>8599.07</v>
      </c>
      <c r="O23" s="1" t="str">
        <f>IF(NOT(ISBLANK(Results!AF24)),Results!AF24,"")</f>
        <v/>
      </c>
      <c r="P23" s="1">
        <f>IF(NOT(ISBLANK(Results!AC24)),Results!AC24,"")</f>
        <v>163.08984375</v>
      </c>
      <c r="Q23" s="1" t="str">
        <f>IF(NOT(ISBLANK(Results!AG24)),Results!AG24,"")</f>
        <v/>
      </c>
      <c r="R23" s="1">
        <f>IF(NOT(ISBLANK(Results!AJ24)),Results!AJ24,"")</f>
        <v>25.05</v>
      </c>
      <c r="S23" s="1" t="str">
        <f>IF(NOT(ISBLANK(Results!AN24)),Results!AN24,"")</f>
        <v/>
      </c>
      <c r="T23" s="1">
        <f>IF(NOT(ISBLANK(Results!AK24)),Results!AK24,"")</f>
        <v>80.24609375</v>
      </c>
      <c r="U23" s="1" t="str">
        <f>IF(NOT(ISBLANK(Results!AO24)),Results!AO24,"")</f>
        <v/>
      </c>
    </row>
    <row r="24" spans="1:21" x14ac:dyDescent="0.25">
      <c r="A24">
        <f t="shared" si="0"/>
        <v>21</v>
      </c>
      <c r="B24" s="1" t="str">
        <f>IF(NOT(ISBLANK(Results!C25)),Results!C25,"")</f>
        <v/>
      </c>
      <c r="C24" s="1" t="str">
        <f>IF(NOT(ISBLANK(Results!G25)),Results!G25,"")</f>
        <v/>
      </c>
      <c r="D24" s="1" t="str">
        <f>IF(NOT(ISBLANK(Results!D25)),Results!D25,"")</f>
        <v/>
      </c>
      <c r="E24" s="1" t="str">
        <f>IF(NOT(ISBLANK(Results!H25)),Results!H25,"")</f>
        <v/>
      </c>
      <c r="F24" s="1" t="str">
        <f>IF(NOT(ISBLANK(Results!K25)),Results!K25,"")</f>
        <v/>
      </c>
      <c r="G24" s="1" t="str">
        <f>IF(NOT(ISBLANK(Results!O25)),Results!O25,"")</f>
        <v/>
      </c>
      <c r="H24" s="1" t="str">
        <f>IF(NOT(ISBLANK(Results!L25)),Results!L25,"")</f>
        <v/>
      </c>
      <c r="I24" s="1" t="str">
        <f>IF(NOT(ISBLANK(Results!P25)),Results!P25,"")</f>
        <v/>
      </c>
      <c r="J24" s="1" t="str">
        <f>IF(NOT(ISBLANK(Results!S25)),Results!S25,"")</f>
        <v/>
      </c>
      <c r="K24" s="1" t="str">
        <f>IF(NOT(ISBLANK(Results!W25)),Results!W25,"")</f>
        <v/>
      </c>
      <c r="L24" s="1" t="str">
        <f>IF(NOT(ISBLANK(Results!T25)),Results!T25,"")</f>
        <v/>
      </c>
      <c r="M24" s="1" t="str">
        <f>IF(NOT(ISBLANK(Results!X25)),Results!X25,"")</f>
        <v/>
      </c>
      <c r="N24" s="1" t="str">
        <f>IF(NOT(ISBLANK(Results!AB25)),Results!AB25,"")</f>
        <v/>
      </c>
      <c r="O24" s="1" t="str">
        <f>IF(NOT(ISBLANK(Results!AF25)),Results!AF25,"")</f>
        <v/>
      </c>
      <c r="P24" s="1" t="str">
        <f>IF(NOT(ISBLANK(Results!AC25)),Results!AC25,"")</f>
        <v/>
      </c>
      <c r="Q24" s="1" t="str">
        <f>IF(NOT(ISBLANK(Results!AG25)),Results!AG25,"")</f>
        <v/>
      </c>
      <c r="R24" s="1" t="str">
        <f>IF(NOT(ISBLANK(Results!AJ25)),Results!AJ25,"")</f>
        <v/>
      </c>
      <c r="S24" s="1" t="str">
        <f>IF(NOT(ISBLANK(Results!AN25)),Results!AN25,"")</f>
        <v/>
      </c>
      <c r="T24" s="1" t="str">
        <f>IF(NOT(ISBLANK(Results!AK25)),Results!AK25,"")</f>
        <v/>
      </c>
      <c r="U24" s="1" t="str">
        <f>IF(NOT(ISBLANK(Results!AO25)),Results!AO25,"")</f>
        <v/>
      </c>
    </row>
    <row r="25" spans="1:21" x14ac:dyDescent="0.25">
      <c r="A25">
        <f t="shared" si="0"/>
        <v>22</v>
      </c>
      <c r="B25" s="1" t="str">
        <f>IF(NOT(ISBLANK(Results!C26)),Results!C26,"")</f>
        <v/>
      </c>
      <c r="C25" s="1" t="str">
        <f>IF(NOT(ISBLANK(Results!G26)),Results!G26,"")</f>
        <v/>
      </c>
      <c r="D25" s="1" t="str">
        <f>IF(NOT(ISBLANK(Results!D26)),Results!D26,"")</f>
        <v/>
      </c>
      <c r="E25" s="1" t="str">
        <f>IF(NOT(ISBLANK(Results!H26)),Results!H26,"")</f>
        <v/>
      </c>
      <c r="F25" s="1" t="str">
        <f>IF(NOT(ISBLANK(Results!K26)),Results!K26,"")</f>
        <v/>
      </c>
      <c r="G25" s="1" t="str">
        <f>IF(NOT(ISBLANK(Results!O26)),Results!O26,"")</f>
        <v/>
      </c>
      <c r="H25" s="1" t="str">
        <f>IF(NOT(ISBLANK(Results!L26)),Results!L26,"")</f>
        <v/>
      </c>
      <c r="I25" s="1" t="str">
        <f>IF(NOT(ISBLANK(Results!P26)),Results!P26,"")</f>
        <v/>
      </c>
      <c r="J25" s="1" t="str">
        <f>IF(NOT(ISBLANK(Results!S26)),Results!S26,"")</f>
        <v/>
      </c>
      <c r="K25" s="1" t="str">
        <f>IF(NOT(ISBLANK(Results!W26)),Results!W26,"")</f>
        <v/>
      </c>
      <c r="L25" s="1" t="str">
        <f>IF(NOT(ISBLANK(Results!T26)),Results!T26,"")</f>
        <v/>
      </c>
      <c r="M25" s="1" t="str">
        <f>IF(NOT(ISBLANK(Results!X26)),Results!X26,"")</f>
        <v/>
      </c>
      <c r="N25" s="1" t="str">
        <f>IF(NOT(ISBLANK(Results!AB26)),Results!AB26,"")</f>
        <v/>
      </c>
      <c r="O25" s="1" t="str">
        <f>IF(NOT(ISBLANK(Results!AF26)),Results!AF26,"")</f>
        <v/>
      </c>
      <c r="P25" s="1" t="str">
        <f>IF(NOT(ISBLANK(Results!AC26)),Results!AC26,"")</f>
        <v/>
      </c>
      <c r="Q25" s="1" t="str">
        <f>IF(NOT(ISBLANK(Results!AG26)),Results!AG26,"")</f>
        <v/>
      </c>
      <c r="R25" s="1" t="str">
        <f>IF(NOT(ISBLANK(Results!AJ26)),Results!AJ26,"")</f>
        <v/>
      </c>
      <c r="S25" s="1" t="str">
        <f>IF(NOT(ISBLANK(Results!AN26)),Results!AN26,"")</f>
        <v/>
      </c>
      <c r="T25" s="1" t="str">
        <f>IF(NOT(ISBLANK(Results!AK26)),Results!AK26,"")</f>
        <v/>
      </c>
      <c r="U25" s="1" t="str">
        <f>IF(NOT(ISBLANK(Results!AO26)),Results!AO26,"")</f>
        <v/>
      </c>
    </row>
    <row r="26" spans="1:21" x14ac:dyDescent="0.25">
      <c r="A26">
        <f t="shared" si="0"/>
        <v>23</v>
      </c>
      <c r="B26" s="1" t="str">
        <f>IF(NOT(ISBLANK(Results!C27)),Results!C27,"")</f>
        <v/>
      </c>
      <c r="C26" s="1" t="str">
        <f>IF(NOT(ISBLANK(Results!G27)),Results!G27,"")</f>
        <v/>
      </c>
      <c r="D26" s="1" t="str">
        <f>IF(NOT(ISBLANK(Results!D27)),Results!D27,"")</f>
        <v/>
      </c>
      <c r="E26" s="1" t="str">
        <f>IF(NOT(ISBLANK(Results!H27)),Results!H27,"")</f>
        <v/>
      </c>
      <c r="F26" s="1" t="str">
        <f>IF(NOT(ISBLANK(Results!K27)),Results!K27,"")</f>
        <v/>
      </c>
      <c r="G26" s="1" t="str">
        <f>IF(NOT(ISBLANK(Results!O27)),Results!O27,"")</f>
        <v/>
      </c>
      <c r="H26" s="1" t="str">
        <f>IF(NOT(ISBLANK(Results!L27)),Results!L27,"")</f>
        <v/>
      </c>
      <c r="I26" s="1" t="str">
        <f>IF(NOT(ISBLANK(Results!P27)),Results!P27,"")</f>
        <v/>
      </c>
      <c r="J26" s="1" t="str">
        <f>IF(NOT(ISBLANK(Results!S27)),Results!S27,"")</f>
        <v/>
      </c>
      <c r="K26" s="1" t="str">
        <f>IF(NOT(ISBLANK(Results!W27)),Results!W27,"")</f>
        <v/>
      </c>
      <c r="L26" s="1" t="str">
        <f>IF(NOT(ISBLANK(Results!T27)),Results!T27,"")</f>
        <v/>
      </c>
      <c r="M26" s="1" t="str">
        <f>IF(NOT(ISBLANK(Results!X27)),Results!X27,"")</f>
        <v/>
      </c>
      <c r="N26" s="1" t="str">
        <f>IF(NOT(ISBLANK(Results!AB27)),Results!AB27,"")</f>
        <v/>
      </c>
      <c r="O26" s="1" t="str">
        <f>IF(NOT(ISBLANK(Results!AF27)),Results!AF27,"")</f>
        <v/>
      </c>
      <c r="P26" s="1" t="str">
        <f>IF(NOT(ISBLANK(Results!AC27)),Results!AC27,"")</f>
        <v/>
      </c>
      <c r="Q26" s="1" t="str">
        <f>IF(NOT(ISBLANK(Results!AG27)),Results!AG27,"")</f>
        <v/>
      </c>
      <c r="R26" s="1" t="str">
        <f>IF(NOT(ISBLANK(Results!AJ27)),Results!AJ27,"")</f>
        <v/>
      </c>
      <c r="S26" s="1" t="str">
        <f>IF(NOT(ISBLANK(Results!AN27)),Results!AN27,"")</f>
        <v/>
      </c>
      <c r="T26" s="1" t="str">
        <f>IF(NOT(ISBLANK(Results!AK27)),Results!AK27,"")</f>
        <v/>
      </c>
      <c r="U26" s="1" t="str">
        <f>IF(NOT(ISBLANK(Results!AO27)),Results!AO27,"")</f>
        <v/>
      </c>
    </row>
    <row r="27" spans="1:21" x14ac:dyDescent="0.25">
      <c r="A27">
        <f t="shared" si="0"/>
        <v>24</v>
      </c>
      <c r="B27" s="1" t="str">
        <f>IF(NOT(ISBLANK(Results!C28)),Results!C28,"")</f>
        <v/>
      </c>
      <c r="C27" s="1" t="str">
        <f>IF(NOT(ISBLANK(Results!G28)),Results!G28,"")</f>
        <v/>
      </c>
      <c r="D27" s="1" t="str">
        <f>IF(NOT(ISBLANK(Results!D28)),Results!D28,"")</f>
        <v/>
      </c>
      <c r="E27" s="1" t="str">
        <f>IF(NOT(ISBLANK(Results!H28)),Results!H28,"")</f>
        <v/>
      </c>
      <c r="F27" s="1" t="str">
        <f>IF(NOT(ISBLANK(Results!K28)),Results!K28,"")</f>
        <v/>
      </c>
      <c r="G27" s="1" t="str">
        <f>IF(NOT(ISBLANK(Results!O28)),Results!O28,"")</f>
        <v/>
      </c>
      <c r="H27" s="1" t="str">
        <f>IF(NOT(ISBLANK(Results!L28)),Results!L28,"")</f>
        <v/>
      </c>
      <c r="I27" s="1" t="str">
        <f>IF(NOT(ISBLANK(Results!P28)),Results!P28,"")</f>
        <v/>
      </c>
      <c r="J27" s="1" t="str">
        <f>IF(NOT(ISBLANK(Results!S28)),Results!S28,"")</f>
        <v/>
      </c>
      <c r="K27" s="1" t="str">
        <f>IF(NOT(ISBLANK(Results!W28)),Results!W28,"")</f>
        <v/>
      </c>
      <c r="L27" s="1" t="str">
        <f>IF(NOT(ISBLANK(Results!T28)),Results!T28,"")</f>
        <v/>
      </c>
      <c r="M27" s="1" t="str">
        <f>IF(NOT(ISBLANK(Results!X28)),Results!X28,"")</f>
        <v/>
      </c>
      <c r="N27" s="1" t="str">
        <f>IF(NOT(ISBLANK(Results!AB28)),Results!AB28,"")</f>
        <v/>
      </c>
      <c r="O27" s="1" t="str">
        <f>IF(NOT(ISBLANK(Results!AF28)),Results!AF28,"")</f>
        <v/>
      </c>
      <c r="P27" s="1" t="str">
        <f>IF(NOT(ISBLANK(Results!AC28)),Results!AC28,"")</f>
        <v/>
      </c>
      <c r="Q27" s="1" t="str">
        <f>IF(NOT(ISBLANK(Results!AG28)),Results!AG28,"")</f>
        <v/>
      </c>
      <c r="R27" s="1" t="str">
        <f>IF(NOT(ISBLANK(Results!AJ28)),Results!AJ28,"")</f>
        <v/>
      </c>
      <c r="S27" s="1" t="str">
        <f>IF(NOT(ISBLANK(Results!AN28)),Results!AN28,"")</f>
        <v/>
      </c>
      <c r="T27" s="1" t="str">
        <f>IF(NOT(ISBLANK(Results!AK28)),Results!AK28,"")</f>
        <v/>
      </c>
      <c r="U27" s="1" t="str">
        <f>IF(NOT(ISBLANK(Results!AO28)),Results!AO28,"")</f>
        <v/>
      </c>
    </row>
    <row r="28" spans="1:21" x14ac:dyDescent="0.25">
      <c r="A28">
        <f t="shared" si="0"/>
        <v>25</v>
      </c>
      <c r="B28" s="1">
        <f>IF(NOT(ISBLANK(Results!C29)),Results!C29,"")</f>
        <v>1957.54</v>
      </c>
      <c r="C28" s="1" t="str">
        <f>IF(NOT(ISBLANK(Results!G29)),Results!G29,"")</f>
        <v/>
      </c>
      <c r="D28" s="1">
        <f>IF(NOT(ISBLANK(Results!D29)),Results!D29,"")</f>
        <v>171.66015625</v>
      </c>
      <c r="E28" s="1" t="str">
        <f>IF(NOT(ISBLANK(Results!H29)),Results!H29,"")</f>
        <v/>
      </c>
      <c r="F28" s="1">
        <f>IF(NOT(ISBLANK(Results!K29)),Results!K29,"")</f>
        <v>7.07</v>
      </c>
      <c r="G28" s="1" t="str">
        <f>IF(NOT(ISBLANK(Results!O29)),Results!O29,"")</f>
        <v/>
      </c>
      <c r="H28" s="1">
        <f>IF(NOT(ISBLANK(Results!L29)),Results!L29,"")</f>
        <v>70.12109375</v>
      </c>
      <c r="I28" s="1" t="str">
        <f>IF(NOT(ISBLANK(Results!P29)),Results!P29,"")</f>
        <v/>
      </c>
      <c r="J28" s="1">
        <f>IF(NOT(ISBLANK(Results!S29)),Results!S29,"")</f>
        <v>3.04</v>
      </c>
      <c r="K28" s="1" t="str">
        <f>IF(NOT(ISBLANK(Results!W29)),Results!W29,"")</f>
        <v/>
      </c>
      <c r="L28" s="1">
        <f>IF(NOT(ISBLANK(Results!T29)),Results!T29,"")</f>
        <v>74.1875</v>
      </c>
      <c r="M28" s="1" t="str">
        <f>IF(NOT(ISBLANK(Results!X29)),Results!X29,"")</f>
        <v/>
      </c>
      <c r="N28" s="1" t="str">
        <f>IF(NOT(ISBLANK(Results!AB29)),Results!AB29,"")</f>
        <v/>
      </c>
      <c r="O28" s="1" t="str">
        <f>IF(NOT(ISBLANK(Results!AF29)),Results!AF29,"")</f>
        <v/>
      </c>
      <c r="P28" s="1" t="str">
        <f>IF(NOT(ISBLANK(Results!AC29)),Results!AC29,"")</f>
        <v/>
      </c>
      <c r="Q28" s="1" t="str">
        <f>IF(NOT(ISBLANK(Results!AG29)),Results!AG29,"")</f>
        <v/>
      </c>
      <c r="R28" s="1">
        <f>IF(NOT(ISBLANK(Results!AJ29)),Results!AJ29,"")</f>
        <v>32.549999999999997</v>
      </c>
      <c r="S28" s="1" t="str">
        <f>IF(NOT(ISBLANK(Results!AN29)),Results!AN29,"")</f>
        <v/>
      </c>
      <c r="T28" s="1">
        <f>IF(NOT(ISBLANK(Results!AK29)),Results!AK29,"")</f>
        <v>80.74609375</v>
      </c>
      <c r="U28" s="1" t="str">
        <f>IF(NOT(ISBLANK(Results!AO29)),Results!AO29,"")</f>
        <v/>
      </c>
    </row>
    <row r="29" spans="1:21" x14ac:dyDescent="0.25">
      <c r="A29">
        <f t="shared" si="0"/>
        <v>26</v>
      </c>
      <c r="B29" s="1" t="str">
        <f>IF(NOT(ISBLANK(Results!C30)),Results!C30,"")</f>
        <v/>
      </c>
      <c r="C29" s="1" t="str">
        <f>IF(NOT(ISBLANK(Results!G30)),Results!G30,"")</f>
        <v/>
      </c>
      <c r="D29" s="1" t="str">
        <f>IF(NOT(ISBLANK(Results!D30)),Results!D30,"")</f>
        <v/>
      </c>
      <c r="E29" s="1" t="str">
        <f>IF(NOT(ISBLANK(Results!H30)),Results!H30,"")</f>
        <v/>
      </c>
      <c r="F29" s="1" t="str">
        <f>IF(NOT(ISBLANK(Results!K30)),Results!K30,"")</f>
        <v/>
      </c>
      <c r="G29" s="1" t="str">
        <f>IF(NOT(ISBLANK(Results!O30)),Results!O30,"")</f>
        <v/>
      </c>
      <c r="H29" s="1" t="str">
        <f>IF(NOT(ISBLANK(Results!L30)),Results!L30,"")</f>
        <v/>
      </c>
      <c r="I29" s="1" t="str">
        <f>IF(NOT(ISBLANK(Results!P30)),Results!P30,"")</f>
        <v/>
      </c>
      <c r="J29" s="1" t="str">
        <f>IF(NOT(ISBLANK(Results!S30)),Results!S30,"")</f>
        <v/>
      </c>
      <c r="K29" s="1" t="str">
        <f>IF(NOT(ISBLANK(Results!W30)),Results!W30,"")</f>
        <v/>
      </c>
      <c r="L29" s="1" t="str">
        <f>IF(NOT(ISBLANK(Results!T30)),Results!T30,"")</f>
        <v/>
      </c>
      <c r="M29" s="1" t="str">
        <f>IF(NOT(ISBLANK(Results!X30)),Results!X30,"")</f>
        <v/>
      </c>
      <c r="N29" s="1" t="str">
        <f>IF(NOT(ISBLANK(Results!AB30)),Results!AB30,"")</f>
        <v/>
      </c>
      <c r="O29" s="1" t="str">
        <f>IF(NOT(ISBLANK(Results!AF30)),Results!AF30,"")</f>
        <v/>
      </c>
      <c r="P29" s="1" t="str">
        <f>IF(NOT(ISBLANK(Results!AC30)),Results!AC30,"")</f>
        <v/>
      </c>
      <c r="Q29" s="1" t="str">
        <f>IF(NOT(ISBLANK(Results!AG30)),Results!AG30,"")</f>
        <v/>
      </c>
      <c r="R29" s="1" t="str">
        <f>IF(NOT(ISBLANK(Results!AJ30)),Results!AJ30,"")</f>
        <v/>
      </c>
      <c r="S29" s="1" t="str">
        <f>IF(NOT(ISBLANK(Results!AN30)),Results!AN30,"")</f>
        <v/>
      </c>
      <c r="T29" s="1" t="str">
        <f>IF(NOT(ISBLANK(Results!AK30)),Results!AK30,"")</f>
        <v/>
      </c>
      <c r="U29" s="1" t="str">
        <f>IF(NOT(ISBLANK(Results!AO30)),Results!AO30,"")</f>
        <v/>
      </c>
    </row>
    <row r="30" spans="1:21" x14ac:dyDescent="0.25">
      <c r="A30">
        <f t="shared" si="0"/>
        <v>27</v>
      </c>
      <c r="B30" s="1" t="str">
        <f>IF(NOT(ISBLANK(Results!C31)),Results!C31,"")</f>
        <v/>
      </c>
      <c r="C30" s="1" t="str">
        <f>IF(NOT(ISBLANK(Results!G31)),Results!G31,"")</f>
        <v/>
      </c>
      <c r="D30" s="1" t="str">
        <f>IF(NOT(ISBLANK(Results!D31)),Results!D31,"")</f>
        <v/>
      </c>
      <c r="E30" s="1" t="str">
        <f>IF(NOT(ISBLANK(Results!H31)),Results!H31,"")</f>
        <v/>
      </c>
      <c r="F30" s="1" t="str">
        <f>IF(NOT(ISBLANK(Results!K31)),Results!K31,"")</f>
        <v/>
      </c>
      <c r="G30" s="1" t="str">
        <f>IF(NOT(ISBLANK(Results!O31)),Results!O31,"")</f>
        <v/>
      </c>
      <c r="H30" s="1" t="str">
        <f>IF(NOT(ISBLANK(Results!L31)),Results!L31,"")</f>
        <v/>
      </c>
      <c r="I30" s="1" t="str">
        <f>IF(NOT(ISBLANK(Results!P31)),Results!P31,"")</f>
        <v/>
      </c>
      <c r="J30" s="1" t="str">
        <f>IF(NOT(ISBLANK(Results!S31)),Results!S31,"")</f>
        <v/>
      </c>
      <c r="K30" s="1" t="str">
        <f>IF(NOT(ISBLANK(Results!W31)),Results!W31,"")</f>
        <v/>
      </c>
      <c r="L30" s="1" t="str">
        <f>IF(NOT(ISBLANK(Results!T31)),Results!T31,"")</f>
        <v/>
      </c>
      <c r="M30" s="1" t="str">
        <f>IF(NOT(ISBLANK(Results!X31)),Results!X31,"")</f>
        <v/>
      </c>
      <c r="N30" s="1" t="str">
        <f>IF(NOT(ISBLANK(Results!AB31)),Results!AB31,"")</f>
        <v/>
      </c>
      <c r="O30" s="1" t="str">
        <f>IF(NOT(ISBLANK(Results!AF31)),Results!AF31,"")</f>
        <v/>
      </c>
      <c r="P30" s="1" t="str">
        <f>IF(NOT(ISBLANK(Results!AC31)),Results!AC31,"")</f>
        <v/>
      </c>
      <c r="Q30" s="1" t="str">
        <f>IF(NOT(ISBLANK(Results!AG31)),Results!AG31,"")</f>
        <v/>
      </c>
      <c r="R30" s="1" t="str">
        <f>IF(NOT(ISBLANK(Results!AJ31)),Results!AJ31,"")</f>
        <v/>
      </c>
      <c r="S30" s="1" t="str">
        <f>IF(NOT(ISBLANK(Results!AN31)),Results!AN31,"")</f>
        <v/>
      </c>
      <c r="T30" s="1" t="str">
        <f>IF(NOT(ISBLANK(Results!AK31)),Results!AK31,"")</f>
        <v/>
      </c>
      <c r="U30" s="1" t="str">
        <f>IF(NOT(ISBLANK(Results!AO31)),Results!AO31,"")</f>
        <v/>
      </c>
    </row>
    <row r="31" spans="1:21" x14ac:dyDescent="0.25">
      <c r="A31">
        <f t="shared" si="0"/>
        <v>28</v>
      </c>
      <c r="B31" s="1" t="str">
        <f>IF(NOT(ISBLANK(Results!C32)),Results!C32,"")</f>
        <v/>
      </c>
      <c r="C31" s="1" t="str">
        <f>IF(NOT(ISBLANK(Results!G32)),Results!G32,"")</f>
        <v/>
      </c>
      <c r="D31" s="1" t="str">
        <f>IF(NOT(ISBLANK(Results!D32)),Results!D32,"")</f>
        <v/>
      </c>
      <c r="E31" s="1" t="str">
        <f>IF(NOT(ISBLANK(Results!H32)),Results!H32,"")</f>
        <v/>
      </c>
      <c r="F31" s="1" t="str">
        <f>IF(NOT(ISBLANK(Results!K32)),Results!K32,"")</f>
        <v/>
      </c>
      <c r="G31" s="1" t="str">
        <f>IF(NOT(ISBLANK(Results!O32)),Results!O32,"")</f>
        <v/>
      </c>
      <c r="H31" s="1" t="str">
        <f>IF(NOT(ISBLANK(Results!L32)),Results!L32,"")</f>
        <v/>
      </c>
      <c r="I31" s="1" t="str">
        <f>IF(NOT(ISBLANK(Results!P32)),Results!P32,"")</f>
        <v/>
      </c>
      <c r="J31" s="1" t="str">
        <f>IF(NOT(ISBLANK(Results!S32)),Results!S32,"")</f>
        <v/>
      </c>
      <c r="K31" s="1" t="str">
        <f>IF(NOT(ISBLANK(Results!W32)),Results!W32,"")</f>
        <v/>
      </c>
      <c r="L31" s="1" t="str">
        <f>IF(NOT(ISBLANK(Results!T32)),Results!T32,"")</f>
        <v/>
      </c>
      <c r="M31" s="1" t="str">
        <f>IF(NOT(ISBLANK(Results!X32)),Results!X32,"")</f>
        <v/>
      </c>
      <c r="N31" s="1" t="str">
        <f>IF(NOT(ISBLANK(Results!AB32)),Results!AB32,"")</f>
        <v/>
      </c>
      <c r="O31" s="1" t="str">
        <f>IF(NOT(ISBLANK(Results!AF32)),Results!AF32,"")</f>
        <v/>
      </c>
      <c r="P31" s="1" t="str">
        <f>IF(NOT(ISBLANK(Results!AC32)),Results!AC32,"")</f>
        <v/>
      </c>
      <c r="Q31" s="1" t="str">
        <f>IF(NOT(ISBLANK(Results!AG32)),Results!AG32,"")</f>
        <v/>
      </c>
      <c r="R31" s="1" t="str">
        <f>IF(NOT(ISBLANK(Results!AJ32)),Results!AJ32,"")</f>
        <v/>
      </c>
      <c r="S31" s="1" t="str">
        <f>IF(NOT(ISBLANK(Results!AN32)),Results!AN32,"")</f>
        <v/>
      </c>
      <c r="T31" s="1" t="str">
        <f>IF(NOT(ISBLANK(Results!AK32)),Results!AK32,"")</f>
        <v/>
      </c>
      <c r="U31" s="1" t="str">
        <f>IF(NOT(ISBLANK(Results!AO32)),Results!AO32,"")</f>
        <v/>
      </c>
    </row>
    <row r="32" spans="1:21" x14ac:dyDescent="0.25">
      <c r="A32">
        <f t="shared" si="0"/>
        <v>29</v>
      </c>
      <c r="B32" s="1" t="str">
        <f>IF(NOT(ISBLANK(Results!C33)),Results!C33,"")</f>
        <v/>
      </c>
      <c r="C32" s="1" t="str">
        <f>IF(NOT(ISBLANK(Results!G33)),Results!G33,"")</f>
        <v/>
      </c>
      <c r="D32" s="1" t="str">
        <f>IF(NOT(ISBLANK(Results!D33)),Results!D33,"")</f>
        <v/>
      </c>
      <c r="E32" s="1" t="str">
        <f>IF(NOT(ISBLANK(Results!H33)),Results!H33,"")</f>
        <v/>
      </c>
      <c r="F32" s="1" t="str">
        <f>IF(NOT(ISBLANK(Results!K33)),Results!K33,"")</f>
        <v/>
      </c>
      <c r="G32" s="1" t="str">
        <f>IF(NOT(ISBLANK(Results!O33)),Results!O33,"")</f>
        <v/>
      </c>
      <c r="H32" s="1" t="str">
        <f>IF(NOT(ISBLANK(Results!L33)),Results!L33,"")</f>
        <v/>
      </c>
      <c r="I32" s="1" t="str">
        <f>IF(NOT(ISBLANK(Results!P33)),Results!P33,"")</f>
        <v/>
      </c>
      <c r="J32" s="1" t="str">
        <f>IF(NOT(ISBLANK(Results!S33)),Results!S33,"")</f>
        <v/>
      </c>
      <c r="K32" s="1" t="str">
        <f>IF(NOT(ISBLANK(Results!W33)),Results!W33,"")</f>
        <v/>
      </c>
      <c r="L32" s="1" t="str">
        <f>IF(NOT(ISBLANK(Results!T33)),Results!T33,"")</f>
        <v/>
      </c>
      <c r="M32" s="1" t="str">
        <f>IF(NOT(ISBLANK(Results!X33)),Results!X33,"")</f>
        <v/>
      </c>
      <c r="N32" s="1" t="str">
        <f>IF(NOT(ISBLANK(Results!AB33)),Results!AB33,"")</f>
        <v/>
      </c>
      <c r="O32" s="1" t="str">
        <f>IF(NOT(ISBLANK(Results!AF33)),Results!AF33,"")</f>
        <v/>
      </c>
      <c r="P32" s="1" t="str">
        <f>IF(NOT(ISBLANK(Results!AC33)),Results!AC33,"")</f>
        <v/>
      </c>
      <c r="Q32" s="1" t="str">
        <f>IF(NOT(ISBLANK(Results!AG33)),Results!AG33,"")</f>
        <v/>
      </c>
      <c r="R32" s="1" t="str">
        <f>IF(NOT(ISBLANK(Results!AJ33)),Results!AJ33,"")</f>
        <v/>
      </c>
      <c r="S32" s="1" t="str">
        <f>IF(NOT(ISBLANK(Results!AN33)),Results!AN33,"")</f>
        <v/>
      </c>
      <c r="T32" s="1" t="str">
        <f>IF(NOT(ISBLANK(Results!AK33)),Results!AK33,"")</f>
        <v/>
      </c>
      <c r="U32" s="1" t="str">
        <f>IF(NOT(ISBLANK(Results!AO33)),Results!AO33,"")</f>
        <v/>
      </c>
    </row>
    <row r="33" spans="1:21" x14ac:dyDescent="0.25">
      <c r="A33">
        <f t="shared" si="0"/>
        <v>30</v>
      </c>
      <c r="B33" s="1">
        <f>IF(NOT(ISBLANK(Results!C34)),Results!C34,"")</f>
        <v>3884.74</v>
      </c>
      <c r="C33" s="1" t="str">
        <f>IF(NOT(ISBLANK(Results!G34)),Results!G34,"")</f>
        <v/>
      </c>
      <c r="D33" s="1">
        <f>IF(NOT(ISBLANK(Results!D34)),Results!D34,"")</f>
        <v>223.05078125</v>
      </c>
      <c r="E33" s="1" t="str">
        <f>IF(NOT(ISBLANK(Results!H34)),Results!H34,"")</f>
        <v/>
      </c>
      <c r="F33" s="1">
        <f>IF(NOT(ISBLANK(Results!K34)),Results!K34,"")</f>
        <v>7.97</v>
      </c>
      <c r="G33" s="1" t="str">
        <f>IF(NOT(ISBLANK(Results!O34)),Results!O34,"")</f>
        <v/>
      </c>
      <c r="H33" s="1">
        <f>IF(NOT(ISBLANK(Results!L34)),Results!L34,"")</f>
        <v>70.140625</v>
      </c>
      <c r="I33" s="1" t="str">
        <f>IF(NOT(ISBLANK(Results!P34)),Results!P34,"")</f>
        <v/>
      </c>
      <c r="J33" s="1">
        <f>IF(NOT(ISBLANK(Results!S34)),Results!S34,"")</f>
        <v>2.93</v>
      </c>
      <c r="K33" s="1" t="str">
        <f>IF(NOT(ISBLANK(Results!W34)),Results!W34,"")</f>
        <v/>
      </c>
      <c r="L33" s="1">
        <f>IF(NOT(ISBLANK(Results!T34)),Results!T34,"")</f>
        <v>74.19140625</v>
      </c>
      <c r="M33" s="1" t="str">
        <f>IF(NOT(ISBLANK(Results!X34)),Results!X34,"")</f>
        <v/>
      </c>
      <c r="N33" s="1" t="str">
        <f>IF(NOT(ISBLANK(Results!AB34)),Results!AB34,"")</f>
        <v/>
      </c>
      <c r="O33" s="1" t="str">
        <f>IF(NOT(ISBLANK(Results!AF34)),Results!AF34,"")</f>
        <v/>
      </c>
      <c r="P33" s="1" t="str">
        <f>IF(NOT(ISBLANK(Results!AC34)),Results!AC34,"")</f>
        <v/>
      </c>
      <c r="Q33" s="1" t="str">
        <f>IF(NOT(ISBLANK(Results!AG34)),Results!AG34,"")</f>
        <v/>
      </c>
      <c r="R33" s="1">
        <f>IF(NOT(ISBLANK(Results!AJ34)),Results!AJ34,"")</f>
        <v>32.520000000000003</v>
      </c>
      <c r="S33" s="1" t="str">
        <f>IF(NOT(ISBLANK(Results!AN34)),Results!AN34,"")</f>
        <v/>
      </c>
      <c r="T33" s="1">
        <f>IF(NOT(ISBLANK(Results!AK34)),Results!AK34,"")</f>
        <v>80.8828125</v>
      </c>
      <c r="U33" s="1" t="str">
        <f>IF(NOT(ISBLANK(Results!AO34)),Results!AO34,"")</f>
        <v/>
      </c>
    </row>
    <row r="34" spans="1:21" x14ac:dyDescent="0.25">
      <c r="B34" s="1" t="str">
        <f>IF(NOT(ISBLANK(Results!C35)),Results!C35,"")</f>
        <v/>
      </c>
    </row>
    <row r="35" spans="1:21" x14ac:dyDescent="0.25">
      <c r="B35" s="1" t="str">
        <f>IF(NOT(ISBLANK(Results!C36)),Results!C36,"")</f>
        <v/>
      </c>
    </row>
    <row r="36" spans="1:21" x14ac:dyDescent="0.25">
      <c r="B36" s="1" t="str">
        <f>IF(NOT(ISBLANK(Results!C37)),Results!C37,"")</f>
        <v/>
      </c>
    </row>
    <row r="37" spans="1:21" x14ac:dyDescent="0.25">
      <c r="B37" s="1" t="str">
        <f>IF(NOT(ISBLANK(Results!C38)),Results!C38,"")</f>
        <v/>
      </c>
    </row>
    <row r="38" spans="1:21" x14ac:dyDescent="0.25">
      <c r="B38" s="1" t="str">
        <f>IF(NOT(ISBLANK(Results!C39)),Results!C39,"")</f>
        <v/>
      </c>
    </row>
    <row r="39" spans="1:21" x14ac:dyDescent="0.25">
      <c r="B39" s="1" t="str">
        <f>IF(NOT(ISBLANK(Results!C40)),Results!C40,"")</f>
        <v/>
      </c>
    </row>
  </sheetData>
  <mergeCells count="3">
    <mergeCell ref="B2:C2"/>
    <mergeCell ref="D2:E2"/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17</vt:i4>
      </vt:variant>
    </vt:vector>
  </HeadingPairs>
  <TitlesOfParts>
    <vt:vector size="19" baseType="lpstr">
      <vt:lpstr>Results</vt:lpstr>
      <vt:lpstr>Summary</vt:lpstr>
      <vt:lpstr>Runtime</vt:lpstr>
      <vt:lpstr>Memory</vt:lpstr>
      <vt:lpstr>Runtime PHAVer</vt:lpstr>
      <vt:lpstr>Memory PHAVer</vt:lpstr>
      <vt:lpstr>All Runtime</vt:lpstr>
      <vt:lpstr>SSATS Runtime</vt:lpstr>
      <vt:lpstr>SSATS Memory</vt:lpstr>
      <vt:lpstr>MUX-INDEX-TA Runtime (N=30)</vt:lpstr>
      <vt:lpstr>MUX-INDEX-TA Memory (N=30)</vt:lpstr>
      <vt:lpstr>NFA Runtime</vt:lpstr>
      <vt:lpstr>NFA Memory</vt:lpstr>
      <vt:lpstr>Memory Delta</vt:lpstr>
      <vt:lpstr>NFA State Space</vt:lpstr>
      <vt:lpstr>MUX-SEM Runtime</vt:lpstr>
      <vt:lpstr>MUX-SEM Memory</vt:lpstr>
      <vt:lpstr>MUX-SEM Runtime (N=30)</vt:lpstr>
      <vt:lpstr>MUX-SEM Memory (N=30)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2013-06-30T00:42:01Z</dcterms:modified>
</cp:coreProperties>
</file>